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1vup\Downloads\"/>
    </mc:Choice>
  </mc:AlternateContent>
  <xr:revisionPtr revIDLastSave="0" documentId="8_{916052E1-E293-48CB-BF73-DBD78325DEAD}" xr6:coauthVersionLast="47" xr6:coauthVersionMax="47" xr10:uidLastSave="{00000000-0000-0000-0000-000000000000}"/>
  <bookViews>
    <workbookView xWindow="-110" yWindow="-110" windowWidth="22620" windowHeight="13500" activeTab="1" xr2:uid="{DD991D9A-41BF-4748-9480-DF651366B047}"/>
  </bookViews>
  <sheets>
    <sheet name="Sheet1" sheetId="1" r:id="rId1"/>
    <sheet name="Sheet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1" i="2" l="1"/>
  <c r="Q70" i="2"/>
  <c r="Q69" i="2"/>
  <c r="O71" i="2"/>
  <c r="I69" i="2"/>
  <c r="O70" i="2"/>
  <c r="O69" i="2"/>
  <c r="K69" i="2"/>
  <c r="K71" i="2"/>
  <c r="I71" i="2"/>
  <c r="K70" i="2"/>
  <c r="I70" i="2"/>
  <c r="E71" i="2"/>
  <c r="E70" i="2"/>
  <c r="E69" i="2"/>
  <c r="C71" i="2"/>
  <c r="C70" i="2"/>
  <c r="C69" i="2"/>
  <c r="J12" i="2"/>
  <c r="I12" i="2"/>
  <c r="C32" i="2"/>
  <c r="I14" i="2"/>
  <c r="I13" i="2"/>
  <c r="B9" i="2"/>
  <c r="B51" i="2"/>
  <c r="C51" i="2"/>
  <c r="E51" i="2" s="1"/>
  <c r="B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B50" i="2"/>
  <c r="D50" i="2" s="1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J3" i="2"/>
  <c r="B24" i="2"/>
  <c r="B3" i="2"/>
  <c r="J2" i="2"/>
  <c r="F9" i="2" s="1"/>
  <c r="B2" i="2"/>
  <c r="K14" i="2" s="1"/>
  <c r="J1" i="2"/>
  <c r="F15" i="1"/>
  <c r="I8" i="1" s="1"/>
  <c r="F13" i="1"/>
  <c r="B27" i="1" a="1"/>
  <c r="B27" i="1" s="1"/>
  <c r="B24" i="1"/>
  <c r="F10" i="1"/>
  <c r="F12" i="1"/>
  <c r="F9" i="1"/>
  <c r="F8" i="1"/>
  <c r="B10" i="1"/>
  <c r="B9" i="1"/>
  <c r="J3" i="1"/>
  <c r="J2" i="1"/>
  <c r="J1" i="1"/>
  <c r="B3" i="1"/>
  <c r="B2" i="1"/>
  <c r="B8" i="1" s="1"/>
  <c r="E32" i="2" l="1"/>
  <c r="K12" i="2"/>
  <c r="J38" i="2"/>
  <c r="D41" i="2"/>
  <c r="J41" i="2" s="1"/>
  <c r="E48" i="2"/>
  <c r="F36" i="2"/>
  <c r="L36" i="2" s="1"/>
  <c r="J51" i="2"/>
  <c r="K13" i="2"/>
  <c r="J37" i="2"/>
  <c r="F8" i="2"/>
  <c r="E47" i="2"/>
  <c r="E35" i="2"/>
  <c r="J47" i="2"/>
  <c r="J35" i="2"/>
  <c r="J39" i="2"/>
  <c r="J50" i="2"/>
  <c r="E46" i="2"/>
  <c r="E34" i="2"/>
  <c r="J46" i="2"/>
  <c r="L49" i="2"/>
  <c r="F32" i="2"/>
  <c r="L32" i="2" s="1"/>
  <c r="D49" i="2"/>
  <c r="J49" i="2" s="1"/>
  <c r="E43" i="2"/>
  <c r="E42" i="2"/>
  <c r="D47" i="2"/>
  <c r="D35" i="2"/>
  <c r="F45" i="2"/>
  <c r="L45" i="2" s="1"/>
  <c r="D32" i="2"/>
  <c r="D44" i="2"/>
  <c r="E39" i="2"/>
  <c r="D48" i="2"/>
  <c r="J48" i="2" s="1"/>
  <c r="F40" i="2"/>
  <c r="L40" i="2" s="1"/>
  <c r="D43" i="2"/>
  <c r="F38" i="2"/>
  <c r="L38" i="2" s="1"/>
  <c r="F33" i="2"/>
  <c r="L33" i="2" s="1"/>
  <c r="D42" i="2"/>
  <c r="J42" i="2" s="1"/>
  <c r="E49" i="2"/>
  <c r="E37" i="2"/>
  <c r="E50" i="2"/>
  <c r="F42" i="2"/>
  <c r="L42" i="2" s="1"/>
  <c r="D38" i="2"/>
  <c r="D37" i="2"/>
  <c r="E44" i="2"/>
  <c r="F44" i="2"/>
  <c r="L44" i="2" s="1"/>
  <c r="E33" i="2"/>
  <c r="F43" i="2"/>
  <c r="L43" i="2" s="1"/>
  <c r="F35" i="2"/>
  <c r="L35" i="2" s="1"/>
  <c r="D40" i="2"/>
  <c r="J40" i="2" s="1"/>
  <c r="D39" i="2"/>
  <c r="E45" i="2"/>
  <c r="F47" i="2"/>
  <c r="L47" i="2" s="1"/>
  <c r="D46" i="2"/>
  <c r="F34" i="2"/>
  <c r="L34" i="2" s="1"/>
  <c r="F41" i="2"/>
  <c r="L41" i="2" s="1"/>
  <c r="F39" i="2"/>
  <c r="L39" i="2" s="1"/>
  <c r="E38" i="2"/>
  <c r="F50" i="2"/>
  <c r="L50" i="2" s="1"/>
  <c r="F37" i="2"/>
  <c r="L37" i="2" s="1"/>
  <c r="F48" i="2"/>
  <c r="L48" i="2" s="1"/>
  <c r="D34" i="2"/>
  <c r="J34" i="2" s="1"/>
  <c r="E41" i="2"/>
  <c r="D33" i="2"/>
  <c r="E40" i="2"/>
  <c r="D45" i="2"/>
  <c r="J45" i="2" s="1"/>
  <c r="F49" i="2"/>
  <c r="E36" i="2"/>
  <c r="F46" i="2"/>
  <c r="L46" i="2" s="1"/>
  <c r="D36" i="2"/>
  <c r="J36" i="2" s="1"/>
  <c r="D51" i="2"/>
  <c r="F51" i="2"/>
  <c r="L51" i="2" s="1"/>
  <c r="H5" i="2"/>
  <c r="J14" i="2"/>
  <c r="B10" i="2"/>
  <c r="J13" i="2"/>
  <c r="B8" i="2"/>
  <c r="F12" i="2"/>
  <c r="F10" i="2"/>
  <c r="H5" i="1"/>
  <c r="G46" i="2" l="1"/>
  <c r="G40" i="2"/>
  <c r="H40" i="2"/>
  <c r="H36" i="2"/>
  <c r="G38" i="2"/>
  <c r="H47" i="2"/>
  <c r="J43" i="2"/>
  <c r="H35" i="2"/>
  <c r="K42" i="2"/>
  <c r="I42" i="2" s="1"/>
  <c r="K34" i="2"/>
  <c r="I34" i="2" s="1"/>
  <c r="K35" i="2"/>
  <c r="I35" i="2" s="1"/>
  <c r="K50" i="2"/>
  <c r="I50" i="2" s="1"/>
  <c r="K51" i="2"/>
  <c r="I51" i="2" s="1"/>
  <c r="K41" i="2"/>
  <c r="I41" i="2" s="1"/>
  <c r="K43" i="2"/>
  <c r="K33" i="2"/>
  <c r="K46" i="2"/>
  <c r="I46" i="2" s="1"/>
  <c r="K49" i="2"/>
  <c r="I49" i="2" s="1"/>
  <c r="K38" i="2"/>
  <c r="I38" i="2" s="1"/>
  <c r="K39" i="2"/>
  <c r="I39" i="2" s="1"/>
  <c r="K40" i="2"/>
  <c r="I40" i="2" s="1"/>
  <c r="K44" i="2"/>
  <c r="I44" i="2" s="1"/>
  <c r="K45" i="2"/>
  <c r="I45" i="2" s="1"/>
  <c r="K47" i="2"/>
  <c r="I47" i="2" s="1"/>
  <c r="K36" i="2"/>
  <c r="I36" i="2" s="1"/>
  <c r="K37" i="2"/>
  <c r="I37" i="2" s="1"/>
  <c r="K48" i="2"/>
  <c r="I48" i="2" s="1"/>
  <c r="J44" i="2"/>
  <c r="F13" i="2"/>
  <c r="J33" i="2"/>
  <c r="F15" i="2"/>
  <c r="J32" i="2"/>
  <c r="K32" i="2"/>
  <c r="I32" i="2" s="1"/>
  <c r="B19" i="2"/>
  <c r="B21" i="2" s="1"/>
  <c r="F11" i="2"/>
  <c r="F14" i="2" s="1"/>
  <c r="N12" i="2" a="1"/>
  <c r="N12" i="2" s="1"/>
  <c r="I8" i="2" s="1" a="1"/>
  <c r="I8" i="2" s="1"/>
  <c r="B19" i="1"/>
  <c r="F11" i="1"/>
  <c r="F14" i="1" s="1"/>
  <c r="G32" i="2" l="1"/>
  <c r="H32" i="2"/>
  <c r="G47" i="2"/>
  <c r="H50" i="2"/>
  <c r="G50" i="2"/>
  <c r="G51" i="2"/>
  <c r="G36" i="2"/>
  <c r="G42" i="2"/>
  <c r="G39" i="2"/>
  <c r="H37" i="2"/>
  <c r="G33" i="2"/>
  <c r="H33" i="2"/>
  <c r="G35" i="2"/>
  <c r="H39" i="2"/>
  <c r="H49" i="2"/>
  <c r="G43" i="2"/>
  <c r="H43" i="2"/>
  <c r="G37" i="2"/>
  <c r="H45" i="2"/>
  <c r="G34" i="2"/>
  <c r="H51" i="2"/>
  <c r="H38" i="2"/>
  <c r="H34" i="2"/>
  <c r="G44" i="2"/>
  <c r="H44" i="2"/>
  <c r="G45" i="2"/>
  <c r="H41" i="2"/>
  <c r="I33" i="2"/>
  <c r="G41" i="2"/>
  <c r="H48" i="2"/>
  <c r="G49" i="2"/>
  <c r="I43" i="2"/>
  <c r="H46" i="2"/>
  <c r="G48" i="2"/>
  <c r="H42" i="2"/>
  <c r="B22" i="2"/>
  <c r="B23" i="2"/>
  <c r="I10" i="1"/>
  <c r="B23" i="1"/>
  <c r="B21" i="1"/>
  <c r="B22" i="1"/>
  <c r="I9" i="1"/>
  <c r="J21" i="2" l="1"/>
  <c r="I22" i="2" s="1"/>
  <c r="H20" i="2"/>
  <c r="J22" i="2"/>
  <c r="J20" i="2"/>
  <c r="H22" i="2" s="1"/>
  <c r="I21" i="2"/>
  <c r="I20" i="2"/>
  <c r="H21" i="2" s="1"/>
  <c r="J22" i="1"/>
  <c r="H20" i="1"/>
  <c r="J21" i="1"/>
  <c r="I22" i="1" s="1"/>
  <c r="I20" i="1"/>
  <c r="H21" i="1" s="1"/>
  <c r="I21" i="1"/>
  <c r="J20" i="1"/>
  <c r="H22" i="1" s="1"/>
  <c r="L20" i="2" l="1" a="1"/>
  <c r="L20" i="2" s="1"/>
  <c r="L20" i="1" a="1"/>
  <c r="L20" i="1" s="1"/>
  <c r="B27" i="2" l="1" a="1"/>
  <c r="B27" i="2" s="1"/>
  <c r="H27" i="2" s="1" a="1"/>
  <c r="H2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<sst xmlns="http://schemas.openxmlformats.org/spreadsheetml/2006/main" count="152" uniqueCount="76">
  <si>
    <t>Material Orientation θ:</t>
  </si>
  <si>
    <t>σxx MPa:</t>
  </si>
  <si>
    <t>σyy Mpa:</t>
  </si>
  <si>
    <t>τxy Mpa:</t>
  </si>
  <si>
    <t>Axial Modulus E11 GPa:</t>
  </si>
  <si>
    <t xml:space="preserve">Transverse Modulus E22 GPa: </t>
  </si>
  <si>
    <t>In Plane Shear Modulus G12 GPa:</t>
  </si>
  <si>
    <t>-&gt; Mpa:</t>
  </si>
  <si>
    <t>Minor Poisson's Ratio v21:</t>
  </si>
  <si>
    <t>σ11:</t>
  </si>
  <si>
    <t>σ22:</t>
  </si>
  <si>
    <t>τ12:</t>
  </si>
  <si>
    <t>cosθ:</t>
  </si>
  <si>
    <t>sinθ:</t>
  </si>
  <si>
    <t>m cosθ:</t>
  </si>
  <si>
    <t>n sinθ:</t>
  </si>
  <si>
    <t>Calculation of σ1 in material orientation</t>
  </si>
  <si>
    <t xml:space="preserve">Variant 1: </t>
  </si>
  <si>
    <t>Calculation of ε1 in material orientation</t>
  </si>
  <si>
    <t>s11:</t>
  </si>
  <si>
    <t>s22:</t>
  </si>
  <si>
    <t>s12:</t>
  </si>
  <si>
    <t>s21:</t>
  </si>
  <si>
    <t>s66:</t>
  </si>
  <si>
    <t>ε11:</t>
  </si>
  <si>
    <t>ε22:</t>
  </si>
  <si>
    <t>γ12:</t>
  </si>
  <si>
    <t>εxx:</t>
  </si>
  <si>
    <t>εyy:</t>
  </si>
  <si>
    <t>γxy:</t>
  </si>
  <si>
    <t>Calculation of εx in non-material orientation</t>
  </si>
  <si>
    <t>Variant 2:</t>
  </si>
  <si>
    <t>Calculation of Sx in non-material orientation</t>
  </si>
  <si>
    <t>Delta:</t>
  </si>
  <si>
    <t>Q11:</t>
  </si>
  <si>
    <t>Q22:</t>
  </si>
  <si>
    <t>Q12:</t>
  </si>
  <si>
    <t>Q66:</t>
  </si>
  <si>
    <t>Major Posson's Ratio v12 :</t>
  </si>
  <si>
    <t>=</t>
  </si>
  <si>
    <t>transformed Q̅ matrix</t>
  </si>
  <si>
    <t>Q̅11</t>
  </si>
  <si>
    <t>Q̅12</t>
  </si>
  <si>
    <t>Q̅16</t>
  </si>
  <si>
    <t>Q̅26</t>
  </si>
  <si>
    <t>Q̅22</t>
  </si>
  <si>
    <t>Q̅66</t>
  </si>
  <si>
    <t>Inverse (Sx = Q̅⁻¹)</t>
  </si>
  <si>
    <t>T2 =</t>
  </si>
  <si>
    <t>T2⁻¹ =</t>
  </si>
  <si>
    <t>Calculation of  ε1 in material orientation</t>
  </si>
  <si>
    <t>Column A: θ (degrees)</t>
  </si>
  <si>
    <t>Strains in Material Coordinates</t>
  </si>
  <si>
    <t>Min σ11:</t>
  </si>
  <si>
    <t>Min σ22:</t>
  </si>
  <si>
    <t>Min τ12:</t>
  </si>
  <si>
    <t>Max σ11:</t>
  </si>
  <si>
    <t>Max σ22:</t>
  </si>
  <si>
    <t>Max τ12:</t>
  </si>
  <si>
    <t>Min ε11:</t>
  </si>
  <si>
    <t>Max ε11:</t>
  </si>
  <si>
    <t>Min ε22:</t>
  </si>
  <si>
    <t>Max ε22:</t>
  </si>
  <si>
    <t>Min γ12:</t>
  </si>
  <si>
    <t>Max γ12:</t>
  </si>
  <si>
    <t>Min εxx:</t>
  </si>
  <si>
    <t>Max εxx:</t>
  </si>
  <si>
    <t>Min εyy:</t>
  </si>
  <si>
    <t>Max εyy:</t>
  </si>
  <si>
    <t>Min γxy:</t>
  </si>
  <si>
    <t>Max γxy:</t>
  </si>
  <si>
    <t>HW1 – Anisotropic Stiffness</t>
  </si>
  <si>
    <t>Material: E-Glass</t>
  </si>
  <si>
    <t xml:space="preserve">
</t>
  </si>
  <si>
    <t>Aerospace Materials (14:650:449:90)</t>
  </si>
  <si>
    <t>By Avanthika Vuppala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</si>
</sst>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8" tint="0.3999755851924192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</cellXfs>
  <cellStyles count="1">
    <cellStyle name="Normal" xfId="0" builtinId="0"/>
  </cellStyles>
  <dxfs count="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Strains in E-Glass (material coordinates) vs. </a:t>
            </a:r>
            <a:r>
              <a:rPr lang="el-GR"/>
              <a:t>θ</a:t>
            </a:r>
            <a:r>
              <a:rPr lang="en-US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σ11: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(2)'!$A$32:$A$51</c:f>
              <c:numCache>
                <c:formatCode>General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72.599999999999994</c:v>
                </c:pt>
              </c:numCache>
            </c:numRef>
          </c:xVal>
          <c:yVal>
            <c:numRef>
              <c:f>'Sheet1 (2)'!$D$32:$D$51</c:f>
              <c:numCache>
                <c:formatCode>General</c:formatCode>
                <c:ptCount val="20"/>
                <c:pt idx="0">
                  <c:v>874</c:v>
                </c:pt>
                <c:pt idx="1">
                  <c:v>946.47646721047704</c:v>
                </c:pt>
                <c:pt idx="2">
                  <c:v>1015.8392388203579</c:v>
                </c:pt>
                <c:pt idx="3">
                  <c:v>1079.980762113533</c:v>
                </c:pt>
                <c:pt idx="4">
                  <c:v>1136.9521293619159</c:v>
                </c:pt>
                <c:pt idx="5">
                  <c:v>1185.0222944005668</c:v>
                </c:pt>
                <c:pt idx="6">
                  <c:v>1222.7306695894642</c:v>
                </c:pt>
                <c:pt idx="7">
                  <c:v>1248.9315050298515</c:v>
                </c:pt>
                <c:pt idx="8">
                  <c:v>1262.828701595135</c:v>
                </c:pt>
                <c:pt idx="9">
                  <c:v>1264</c:v>
                </c:pt>
                <c:pt idx="10">
                  <c:v>1252.4098109351196</c:v>
                </c:pt>
                <c:pt idx="11">
                  <c:v>1228.4102964303115</c:v>
                </c:pt>
                <c:pt idx="12">
                  <c:v>1192.7306695894642</c:v>
                </c:pt>
                <c:pt idx="13">
                  <c:v>1146.4550378193746</c:v>
                </c:pt>
                <c:pt idx="14">
                  <c:v>1090.9894627747772</c:v>
                </c:pt>
                <c:pt idx="15">
                  <c:v>1028.0192378864667</c:v>
                </c:pt>
                <c:pt idx="16">
                  <c:v>959.45768157320356</c:v>
                </c:pt>
                <c:pt idx="17">
                  <c:v>887.3880020297446</c:v>
                </c:pt>
                <c:pt idx="18">
                  <c:v>814</c:v>
                </c:pt>
                <c:pt idx="19">
                  <c:v>1059.0652221534501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77-412C-BE21-BDE049ACC8B9}"/>
            </c:ext>
          </c:extLst>
        </c:ser>
        <c:ser>
          <c:idx val="1"/>
          <c:order val="1"/>
          <c:tx>
            <c:v>σ22: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(2)'!$A$32:$A$51</c:f>
              <c:numCache>
                <c:formatCode>General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72.599999999999994</c:v>
                </c:pt>
              </c:numCache>
            </c:numRef>
          </c:xVal>
          <c:yVal>
            <c:numRef>
              <c:f>'Sheet1 (2)'!$E$32:$E$51</c:f>
              <c:numCache>
                <c:formatCode>General</c:formatCode>
                <c:ptCount val="20"/>
                <c:pt idx="0">
                  <c:v>814</c:v>
                </c:pt>
                <c:pt idx="1">
                  <c:v>741.52353278952307</c:v>
                </c:pt>
                <c:pt idx="2">
                  <c:v>672.1607611796419</c:v>
                </c:pt>
                <c:pt idx="3">
                  <c:v>608.01923788646684</c:v>
                </c:pt>
                <c:pt idx="4">
                  <c:v>551.04787063808408</c:v>
                </c:pt>
                <c:pt idx="5">
                  <c:v>502.97770559943302</c:v>
                </c:pt>
                <c:pt idx="6">
                  <c:v>465.26933041053582</c:v>
                </c:pt>
                <c:pt idx="7">
                  <c:v>439.06849497014832</c:v>
                </c:pt>
                <c:pt idx="8">
                  <c:v>425.17129840486461</c:v>
                </c:pt>
                <c:pt idx="9">
                  <c:v>424</c:v>
                </c:pt>
                <c:pt idx="10">
                  <c:v>435.59018906488041</c:v>
                </c:pt>
                <c:pt idx="11">
                  <c:v>459.5897035696886</c:v>
                </c:pt>
                <c:pt idx="12">
                  <c:v>495.2693304105357</c:v>
                </c:pt>
                <c:pt idx="13">
                  <c:v>541.54496218062536</c:v>
                </c:pt>
                <c:pt idx="14">
                  <c:v>597.01053722522261</c:v>
                </c:pt>
                <c:pt idx="15">
                  <c:v>659.98076211353316</c:v>
                </c:pt>
                <c:pt idx="16">
                  <c:v>728.54231842679621</c:v>
                </c:pt>
                <c:pt idx="17">
                  <c:v>800.61199797025552</c:v>
                </c:pt>
                <c:pt idx="18">
                  <c:v>874</c:v>
                </c:pt>
                <c:pt idx="19">
                  <c:v>628.93477784654965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B77-412C-BE21-BDE049ACC8B9}"/>
            </c:ext>
          </c:extLst>
        </c:ser>
        <c:ser>
          <c:idx val="2"/>
          <c:order val="2"/>
          <c:tx>
            <c:v>τ12: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(2)'!$A$32:$A$51</c:f>
              <c:numCache>
                <c:formatCode>General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72.599999999999994</c:v>
                </c:pt>
              </c:numCache>
            </c:numRef>
          </c:xVal>
          <c:yVal>
            <c:numRef>
              <c:f>'Sheet1 (2)'!$F$32:$F$51</c:f>
              <c:numCache>
                <c:formatCode>General</c:formatCode>
                <c:ptCount val="20"/>
                <c:pt idx="0">
                  <c:v>420</c:v>
                </c:pt>
                <c:pt idx="1">
                  <c:v>408.40981093511954</c:v>
                </c:pt>
                <c:pt idx="2">
                  <c:v>384.4102964303114</c:v>
                </c:pt>
                <c:pt idx="3">
                  <c:v>348.73066958946424</c:v>
                </c:pt>
                <c:pt idx="4">
                  <c:v>302.45503781937464</c:v>
                </c:pt>
                <c:pt idx="5">
                  <c:v>246.98946277477714</c:v>
                </c:pt>
                <c:pt idx="6">
                  <c:v>184.01923788646693</c:v>
                </c:pt>
                <c:pt idx="7">
                  <c:v>115.45768157320364</c:v>
                </c:pt>
                <c:pt idx="8">
                  <c:v>43.388002029744541</c:v>
                </c:pt>
                <c:pt idx="9">
                  <c:v>-29.999999999999908</c:v>
                </c:pt>
                <c:pt idx="10">
                  <c:v>-102.47646721047698</c:v>
                </c:pt>
                <c:pt idx="11">
                  <c:v>-171.83923882035805</c:v>
                </c:pt>
                <c:pt idx="12">
                  <c:v>-235.98076211353307</c:v>
                </c:pt>
                <c:pt idx="13">
                  <c:v>-292.95212936191581</c:v>
                </c:pt>
                <c:pt idx="14">
                  <c:v>-341.02229440056686</c:v>
                </c:pt>
                <c:pt idx="15">
                  <c:v>-378.73066958946424</c:v>
                </c:pt>
                <c:pt idx="16">
                  <c:v>-404.93150502985156</c:v>
                </c:pt>
                <c:pt idx="17">
                  <c:v>-418.82870159513533</c:v>
                </c:pt>
                <c:pt idx="18">
                  <c:v>-420</c:v>
                </c:pt>
                <c:pt idx="19">
                  <c:v>-362.0040748666886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B77-412C-BE21-BDE049ACC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6654623"/>
        <c:axId val="496654143"/>
      </c:scatterChart>
      <c:valAx>
        <c:axId val="496654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Orientation Angle</a:t>
                </a:r>
                <a:r>
                  <a:rPr lang="en-US" baseline="0"/>
                  <a:t> </a:t>
                </a:r>
                <a:r>
                  <a:rPr lang="el-GR" baseline="0"/>
                  <a:t>θ</a:t>
                </a:r>
                <a:r>
                  <a:rPr lang="en-US" baseline="0"/>
                  <a:t> (Deg)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654143"/>
        <c:crosses val="autoZero"/>
        <c:crossBetween val="midCat"/>
      </c:valAx>
      <c:valAx>
        <c:axId val="496654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6546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baseline="0">
                <a:solidFill>
                  <a:srgbClr val="0E2841"/>
                </a:solidFill>
              </a:rPr>
              <a:t>Strains in E-Glass (global coordinates) vs. </a:t>
            </a:r>
            <a:r>
              <a:rPr lang="el-GR" sz="1600" b="1" i="0" u="none" strike="noStrike" kern="1200" baseline="0">
                <a:solidFill>
                  <a:srgbClr val="0E2841"/>
                </a:solidFill>
              </a:rPr>
              <a:t>θ</a:t>
            </a:r>
            <a:r>
              <a:rPr lang="en-US" sz="1600" b="1" i="0" u="none" strike="noStrike" kern="1200" baseline="0">
                <a:solidFill>
                  <a:srgbClr val="0E2841"/>
                </a:solidFill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ε11: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(2)'!$J$32:$J$50</c:f>
              <c:numCache>
                <c:formatCode>General</c:formatCode>
                <c:ptCount val="19"/>
                <c:pt idx="0">
                  <c:v>1.4357333333333333E-2</c:v>
                </c:pt>
                <c:pt idx="1">
                  <c:v>1.6418886178431347E-2</c:v>
                </c:pt>
                <c:pt idx="2">
                  <c:v>1.8391871682001293E-2</c:v>
                </c:pt>
                <c:pt idx="3">
                  <c:v>2.0216341677896051E-2</c:v>
                </c:pt>
                <c:pt idx="4">
                  <c:v>2.1836860568516719E-2</c:v>
                </c:pt>
                <c:pt idx="5">
                  <c:v>2.3204189707393904E-2</c:v>
                </c:pt>
                <c:pt idx="6">
                  <c:v>2.4276783490544761E-2</c:v>
                </c:pt>
                <c:pt idx="7">
                  <c:v>2.5022051698626889E-2</c:v>
                </c:pt>
                <c:pt idx="8">
                  <c:v>2.5417349734261623E-2</c:v>
                </c:pt>
                <c:pt idx="9">
                  <c:v>2.5450666666666667E-2</c:v>
                </c:pt>
                <c:pt idx="10">
                  <c:v>2.5120990177710068E-2</c:v>
                </c:pt>
                <c:pt idx="11">
                  <c:v>2.4438337320684414E-2</c:v>
                </c:pt>
                <c:pt idx="12">
                  <c:v>2.342345015721143E-2</c:v>
                </c:pt>
                <c:pt idx="13">
                  <c:v>2.2107165520195544E-2</c:v>
                </c:pt>
                <c:pt idx="14">
                  <c:v>2.0529478052260332E-2</c:v>
                </c:pt>
                <c:pt idx="15">
                  <c:v>1.8738324988770611E-2</c:v>
                </c:pt>
                <c:pt idx="16">
                  <c:v>1.6788129609193347E-2</c:v>
                </c:pt>
                <c:pt idx="17">
                  <c:v>1.4738147613290512E-2</c:v>
                </c:pt>
                <c:pt idx="18">
                  <c:v>1.2650666666666668E-2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70-467F-8AD1-2A3C6D2B1A53}"/>
            </c:ext>
          </c:extLst>
        </c:ser>
        <c:ser>
          <c:idx val="1"/>
          <c:order val="1"/>
          <c:tx>
            <c:v>ε22: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(2)'!$K$32:$K$50</c:f>
              <c:numCache>
                <c:formatCode>General</c:formatCode>
                <c:ptCount val="19"/>
                <c:pt idx="0">
                  <c:v>6.239511111111111E-2</c:v>
                </c:pt>
                <c:pt idx="1">
                  <c:v>5.5904440825372846E-2</c:v>
                </c:pt>
                <c:pt idx="2">
                  <c:v>4.9692619278976821E-2</c:v>
                </c:pt>
                <c:pt idx="3">
                  <c:v>4.3948389526276922E-2</c:v>
                </c:pt>
                <c:pt idx="4">
                  <c:v>3.8846287081588417E-2</c:v>
                </c:pt>
                <c:pt idx="5">
                  <c:v>3.4541336745904774E-2</c:v>
                </c:pt>
                <c:pt idx="6">
                  <c:v>3.1164342256765763E-2</c:v>
                </c:pt>
                <c:pt idx="7">
                  <c:v>2.8817911882882172E-2</c:v>
                </c:pt>
                <c:pt idx="8">
                  <c:v>2.7573340723813428E-2</c:v>
                </c:pt>
                <c:pt idx="9">
                  <c:v>2.7468444444444448E-2</c:v>
                </c:pt>
                <c:pt idx="10">
                  <c:v>2.8506410265143736E-2</c:v>
                </c:pt>
                <c:pt idx="11">
                  <c:v>3.0655700119685443E-2</c:v>
                </c:pt>
                <c:pt idx="12">
                  <c:v>3.3851008923432416E-2</c:v>
                </c:pt>
                <c:pt idx="13">
                  <c:v>3.7995248835287113E-2</c:v>
                </c:pt>
                <c:pt idx="14">
                  <c:v>4.296249922261438E-2</c:v>
                </c:pt>
                <c:pt idx="15">
                  <c:v>4.8601832695945306E-2</c:v>
                </c:pt>
                <c:pt idx="16">
                  <c:v>5.4741900961333079E-2</c:v>
                </c:pt>
                <c:pt idx="17">
                  <c:v>6.1196141151558442E-2</c:v>
                </c:pt>
                <c:pt idx="18">
                  <c:v>6.7768444444444451E-2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70-467F-8AD1-2A3C6D2B1A53}"/>
            </c:ext>
          </c:extLst>
        </c:ser>
        <c:ser>
          <c:idx val="2"/>
          <c:order val="2"/>
          <c:tx>
            <c:v>γ12: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(2)'!$L$32:$L$50</c:f>
              <c:numCache>
                <c:formatCode>General</c:formatCode>
                <c:ptCount val="19"/>
                <c:pt idx="0">
                  <c:v>7.6363636363636356E-2</c:v>
                </c:pt>
                <c:pt idx="1">
                  <c:v>7.4256329260930815E-2</c:v>
                </c:pt>
                <c:pt idx="2">
                  <c:v>6.989278116914753E-2</c:v>
                </c:pt>
                <c:pt idx="3">
                  <c:v>6.3405576288993501E-2</c:v>
                </c:pt>
                <c:pt idx="4">
                  <c:v>5.4991825058068114E-2</c:v>
                </c:pt>
                <c:pt idx="5">
                  <c:v>4.4907175049959475E-2</c:v>
                </c:pt>
                <c:pt idx="6">
                  <c:v>3.3458043252084894E-2</c:v>
                </c:pt>
                <c:pt idx="7">
                  <c:v>2.099230574058248E-2</c:v>
                </c:pt>
                <c:pt idx="8">
                  <c:v>7.8887276417717346E-3</c:v>
                </c:pt>
                <c:pt idx="9">
                  <c:v>-5.4545454545454376E-3</c:v>
                </c:pt>
                <c:pt idx="10">
                  <c:v>-1.8632084947359451E-2</c:v>
                </c:pt>
                <c:pt idx="11">
                  <c:v>-3.1243497967337826E-2</c:v>
                </c:pt>
                <c:pt idx="12">
                  <c:v>-4.2905593111551468E-2</c:v>
                </c:pt>
                <c:pt idx="13">
                  <c:v>-5.3264023520348328E-2</c:v>
                </c:pt>
                <c:pt idx="14">
                  <c:v>-6.2004053527375792E-2</c:v>
                </c:pt>
                <c:pt idx="15">
                  <c:v>-6.8860121743538949E-2</c:v>
                </c:pt>
                <c:pt idx="16">
                  <c:v>-7.3623910005427548E-2</c:v>
                </c:pt>
                <c:pt idx="17">
                  <c:v>-7.6150673017297332E-2</c:v>
                </c:pt>
                <c:pt idx="18">
                  <c:v>-7.6363636363636356E-2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A70-467F-8AD1-2A3C6D2B1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8518831"/>
        <c:axId val="1726140175"/>
      </c:scatterChart>
      <c:valAx>
        <c:axId val="17585188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1" i="0" u="none" strike="noStrike" kern="1200" baseline="0">
                    <a:solidFill>
                      <a:srgbClr val="0E2841"/>
                    </a:solidFill>
                  </a:rPr>
                  <a:t>Orientation Angle </a:t>
                </a:r>
                <a:r>
                  <a:rPr lang="el-GR" sz="900" b="1" i="0" u="none" strike="noStrike" kern="1200" baseline="0">
                    <a:solidFill>
                      <a:srgbClr val="0E2841"/>
                    </a:solidFill>
                  </a:rPr>
                  <a:t>θ</a:t>
                </a:r>
                <a:r>
                  <a:rPr lang="en-US" sz="900" b="1" i="0" u="none" strike="noStrike" kern="1200" baseline="0">
                    <a:solidFill>
                      <a:srgbClr val="0E2841"/>
                    </a:solidFill>
                  </a:rPr>
                  <a:t> (Deg)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140175"/>
        <c:crosses val="autoZero"/>
        <c:crossBetween val="midCat"/>
      </c:valAx>
      <c:valAx>
        <c:axId val="172614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5188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baseline="0">
                <a:solidFill>
                  <a:srgbClr val="0E2841"/>
                </a:solidFill>
              </a:rPr>
              <a:t>Stresses in E-Glass (material coordinates) vs. </a:t>
            </a:r>
            <a:r>
              <a:rPr lang="el-GR" sz="1600" b="1" i="0" u="none" strike="noStrike" kern="1200" baseline="0">
                <a:solidFill>
                  <a:srgbClr val="0E2841"/>
                </a:solidFill>
              </a:rPr>
              <a:t>θ</a:t>
            </a:r>
            <a:r>
              <a:rPr lang="en-US" sz="1600" b="1" i="0" u="none" strike="noStrike" kern="1200" baseline="0">
                <a:solidFill>
                  <a:srgbClr val="0E2841"/>
                </a:solidFill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εxx: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(2)'!$G$32:$G$50</c:f>
              <c:numCache>
                <c:formatCode>General</c:formatCode>
                <c:ptCount val="19"/>
                <c:pt idx="0">
                  <c:v>1.4357333333333333E-2</c:v>
                </c:pt>
                <c:pt idx="1">
                  <c:v>2.7613797482613729E-2</c:v>
                </c:pt>
                <c:pt idx="2">
                  <c:v>3.841869118975122E-2</c:v>
                </c:pt>
                <c:pt idx="3">
                  <c:v>4.6088177854503067E-2</c:v>
                </c:pt>
                <c:pt idx="4">
                  <c:v>5.024267769709935E-2</c:v>
                </c:pt>
                <c:pt idx="5">
                  <c:v>5.0858023317412071E-2</c:v>
                </c:pt>
                <c:pt idx="6">
                  <c:v>4.8277516454903469E-2</c:v>
                </c:pt>
                <c:pt idx="7">
                  <c:v>4.3182481303162303E-2</c:v>
                </c:pt>
                <c:pt idx="8">
                  <c:v>3.6523754944811394E-2</c:v>
                </c:pt>
                <c:pt idx="9">
                  <c:v>2.9421183941373233E-2</c:v>
                </c:pt>
                <c:pt idx="10">
                  <c:v>2.3042054327493261E-2</c:v>
                </c:pt>
                <c:pt idx="11">
                  <c:v>1.8472004022238628E-2</c:v>
                </c:pt>
                <c:pt idx="12">
                  <c:v>1.6593029411207955E-2</c:v>
                </c:pt>
                <c:pt idx="13">
                  <c:v>1.7982561991117404E-2</c:v>
                </c:pt>
                <c:pt idx="14">
                  <c:v>2.2845317546238631E-2</c:v>
                </c:pt>
                <c:pt idx="15">
                  <c:v>3.0985964732172539E-2</c:v>
                </c:pt>
                <c:pt idx="16">
                  <c:v>4.18260424045395E-2</c:v>
                </c:pt>
                <c:pt idx="17">
                  <c:v>5.4463511349416446E-2</c:v>
                </c:pt>
                <c:pt idx="18">
                  <c:v>6.7768444444444451E-2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19-4ACD-9946-3438A44EDF7D}"/>
            </c:ext>
          </c:extLst>
        </c:ser>
        <c:ser>
          <c:idx val="1"/>
          <c:order val="1"/>
          <c:tx>
            <c:v>εyy: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(2)'!$H$32:$H$50</c:f>
              <c:numCache>
                <c:formatCode>General</c:formatCode>
                <c:ptCount val="19"/>
                <c:pt idx="0">
                  <c:v>6.239511111111111E-2</c:v>
                </c:pt>
                <c:pt idx="1">
                  <c:v>4.9157265547851603E-2</c:v>
                </c:pt>
                <c:pt idx="2">
                  <c:v>3.679641673501842E-2</c:v>
                </c:pt>
                <c:pt idx="3">
                  <c:v>2.6507249690100945E-2</c:v>
                </c:pt>
                <c:pt idx="4">
                  <c:v>1.9182530264854194E-2</c:v>
                </c:pt>
                <c:pt idx="5">
                  <c:v>1.5316006097827618E-2</c:v>
                </c:pt>
                <c:pt idx="6">
                  <c:v>1.4954694856598498E-2</c:v>
                </c:pt>
                <c:pt idx="7">
                  <c:v>1.7705954714032614E-2</c:v>
                </c:pt>
                <c:pt idx="8">
                  <c:v>2.2798097110729255E-2</c:v>
                </c:pt>
                <c:pt idx="9">
                  <c:v>2.9186828282828273E-2</c:v>
                </c:pt>
                <c:pt idx="10">
                  <c:v>3.569427506248779E-2</c:v>
                </c:pt>
                <c:pt idx="11">
                  <c:v>4.1163429306097371E-2</c:v>
                </c:pt>
                <c:pt idx="12">
                  <c:v>4.4609006648287777E-2</c:v>
                </c:pt>
                <c:pt idx="13">
                  <c:v>4.5346180247397866E-2</c:v>
                </c:pt>
                <c:pt idx="14">
                  <c:v>4.3081361711346369E-2</c:v>
                </c:pt>
                <c:pt idx="15">
                  <c:v>3.7953831117979862E-2</c:v>
                </c:pt>
                <c:pt idx="16">
                  <c:v>3.0523005976088792E-2</c:v>
                </c:pt>
                <c:pt idx="17">
                  <c:v>2.1702761068267795E-2</c:v>
                </c:pt>
                <c:pt idx="18">
                  <c:v>1.2650666666666673E-2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19-4ACD-9946-3438A44EDF7D}"/>
            </c:ext>
          </c:extLst>
        </c:ser>
        <c:ser>
          <c:idx val="2"/>
          <c:order val="2"/>
          <c:tx>
            <c:v>γxy: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'Sheet1 (2)'!$A$32:$A$50</c:f>
              <c:numCache>
                <c:formatCode>General</c:formatCode>
                <c:ptCount val="19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</c:numCache>
            </c:numRef>
          </c:xVal>
          <c:yVal>
            <c:numRef>
              <c:f>'Sheet1 (2)'!$I$32:$I$50</c:f>
              <c:numCache>
                <c:formatCode>General</c:formatCode>
                <c:ptCount val="19"/>
                <c:pt idx="0">
                  <c:v>7.6363636363636356E-2</c:v>
                </c:pt>
                <c:pt idx="1">
                  <c:v>7.9984803375001343E-2</c:v>
                </c:pt>
                <c:pt idx="2">
                  <c:v>7.6383216890170372E-2</c:v>
                </c:pt>
                <c:pt idx="3">
                  <c:v>6.6776863732051064E-2</c:v>
                </c:pt>
                <c:pt idx="4">
                  <c:v>5.305963061318026E-2</c:v>
                </c:pt>
                <c:pt idx="5">
                  <c:v>3.7550534197812471E-2</c:v>
                </c:pt>
                <c:pt idx="6">
                  <c:v>2.2693822487648046E-2</c:v>
                </c:pt>
                <c:pt idx="7">
                  <c:v>1.0746733222810006E-2</c:v>
                </c:pt>
                <c:pt idx="8">
                  <c:v>3.4930998210394833E-3</c:v>
                </c:pt>
                <c:pt idx="9">
                  <c:v>2.0177777777777802E-3</c:v>
                </c:pt>
                <c:pt idx="10">
                  <c:v>6.5694155465523558E-3</c:v>
                </c:pt>
                <c:pt idx="11">
                  <c:v>1.6528315595754208E-2</c:v>
                </c:pt>
                <c:pt idx="12">
                  <c:v>3.0483327346778218E-2</c:v>
                </c:pt>
                <c:pt idx="13">
                  <c:v>4.640843229626955E-2</c:v>
                </c:pt>
                <c:pt idx="14">
                  <c:v>6.1917528711637297E-2</c:v>
                </c:pt>
                <c:pt idx="15">
                  <c:v>7.4566368591181265E-2</c:v>
                </c:pt>
                <c:pt idx="16">
                  <c:v>8.2164799263114568E-2</c:v>
                </c:pt>
                <c:pt idx="17">
                  <c:v>8.3061119100514225E-2</c:v>
                </c:pt>
                <c:pt idx="18">
                  <c:v>7.6363636363636356E-2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619-4ACD-9946-3438A44ED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6176735"/>
        <c:axId val="496183935"/>
      </c:scatterChart>
      <c:valAx>
        <c:axId val="4961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1" i="0" u="none" strike="noStrike" kern="1200" baseline="0">
                    <a:solidFill>
                      <a:srgbClr val="0E2841"/>
                    </a:solidFill>
                  </a:rPr>
                  <a:t>Orientation Angle </a:t>
                </a:r>
                <a:r>
                  <a:rPr lang="el-GR" sz="900" b="1" i="0" u="none" strike="noStrike" kern="1200" baseline="0">
                    <a:solidFill>
                      <a:srgbClr val="0E2841"/>
                    </a:solidFill>
                  </a:rPr>
                  <a:t>θ</a:t>
                </a:r>
                <a:r>
                  <a:rPr lang="en-US" sz="900" b="1" i="0" u="none" strike="noStrike" kern="1200" baseline="0">
                    <a:solidFill>
                      <a:srgbClr val="0E2841"/>
                    </a:solidFill>
                  </a:rPr>
                  <a:t> (Deg)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183935"/>
        <c:crosses val="autoZero"/>
        <c:crossBetween val="midCat"/>
      </c:valAx>
      <c:valAx>
        <c:axId val="496183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Stress (</a:t>
                </a:r>
                <a:r>
                  <a:rPr lang="en-US" baseline="0"/>
                  <a:t> MPa)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176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224729</xdr:colOff>
      <xdr:row>52</xdr:row>
      <xdr:rowOff>43929</xdr:rowOff>
    </xdr:from>
    <xdr:to>
      <xdr:col>5</xdr:col>
      <xdr:colOff>256044</xdr:colOff>
      <xdr:row>67</xdr:row>
      <xdr:rowOff>47062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C7B8A65-401A-2C73-F9A5-7EDEE48984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390071</xdr:colOff>
      <xdr:row>52</xdr:row>
      <xdr:rowOff>9273</xdr:rowOff>
    </xdr:from>
    <xdr:to>
      <xdr:col>10</xdr:col>
      <xdr:colOff>466674</xdr:colOff>
      <xdr:row>67</xdr:row>
      <xdr:rowOff>31045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218AA7C-7A7D-57EC-4B1F-74D6015A77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151391</xdr:colOff>
      <xdr:row>51</xdr:row>
      <xdr:rowOff>120147</xdr:rowOff>
    </xdr:from>
    <xdr:to>
      <xdr:col>17</xdr:col>
      <xdr:colOff>433210</xdr:colOff>
      <xdr:row>66</xdr:row>
      <xdr:rowOff>141918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100E8A7-3091-0A07-11F2-17835333AF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35C26B-CE83-4405-BA24-00ED62723DA2}" name="Table1" displayName="Table1" ref="A31:L51" totalsRowShown="0">
  <autoFilter ref="A31:L51" xr:uid="{0535C26B-CE83-4405-BA24-00ED62723DA2}"/>
  <tableColumns count="12">
    <tableColumn id="1" xr3:uid="{2FA7022F-C46B-4C3E-9A3D-C2C815341EF8}" name="Column A: θ (degrees)"/>
    <tableColumn id="2" xr3:uid="{9E09EE3C-838B-41A0-8805-B6D408B93082}" name="cosθ:" dataDxfId="10">
      <calculatedColumnFormula>COS(RADIANS(A32))</calculatedColumnFormula>
    </tableColumn>
    <tableColumn id="3" xr3:uid="{FFEAADF3-8FD6-48B1-88F8-C30A9518E2D1}" name="sinθ:" dataDxfId="9">
      <calculatedColumnFormula>SIN(RADIANS(A32))</calculatedColumnFormula>
    </tableColumn>
    <tableColumn id="4" xr3:uid="{1F189336-8275-4B3C-BDFA-E120D34F965F}" name="σ11:" dataDxfId="8">
      <calculatedColumnFormula>B32^2*$E$1+C32^2*$E$2+2*B32*C32*$E$3</calculatedColumnFormula>
    </tableColumn>
    <tableColumn id="5" xr3:uid="{917E4F4E-3D5F-4C3D-8178-1DC250A3082A}" name="σ22:" dataDxfId="6">
      <calculatedColumnFormula>C32^2*$E$1+B32^2*$E$2-2*B32*C32*$E$3</calculatedColumnFormula>
    </tableColumn>
    <tableColumn id="6" xr3:uid="{0D07B693-7FD2-4597-B2E4-303482F578E5}" name="τ12:" dataDxfId="7">
      <calculatedColumnFormula>-B32*C32*($E$1-$E$2)+(B32^2-C32^2)*$E$3</calculatedColumnFormula>
    </tableColumn>
    <tableColumn id="7" xr3:uid="{63381886-0D10-4F6D-BCF0-424F362DEFCF}" name="εxx:" dataDxfId="2">
      <calculatedColumnFormula>(B32^2)*J32+C32*K32+B32*C32*L32</calculatedColumnFormula>
    </tableColumn>
    <tableColumn id="8" xr3:uid="{1A8C23AD-ACA6-49D2-B3BC-574E004FB390}" name="εyy:" dataDxfId="1">
      <calculatedColumnFormula>($C32^2)*$J32 + ($B32^2)*$K32 - ($B32*$C32)*$L32</calculatedColumnFormula>
    </tableColumn>
    <tableColumn id="9" xr3:uid="{83C74F5C-CE4C-4E5D-BEA9-47D243F6B38D}" name="γxy:" dataDxfId="0">
      <calculatedColumnFormula>2*$B32*$C32*($K32-$J32) + (($B32^2)-($C32^2))*$L32</calculatedColumnFormula>
    </tableColumn>
    <tableColumn id="10" xr3:uid="{7F612F7A-1AB2-486B-AC3A-5B4E246059BA}" name="ε11:" dataDxfId="5">
      <calculatedColumnFormula>(1/$J$1)*D32+ (-$H$4/$J$1)*E32</calculatedColumnFormula>
    </tableColumn>
    <tableColumn id="11" xr3:uid="{23450F3D-E1FD-482B-85DA-E905AB6AE38A}" name="ε22:" dataDxfId="4">
      <calculatedColumnFormula xml:space="preserve"> (-$H$5/$J$2)*D32 + (1/$J$2)*E32</calculatedColumnFormula>
    </tableColumn>
    <tableColumn id="12" xr3:uid="{2049A92C-560D-42B1-A858-C989D8DCF56E}" name="γ12:" dataDxfId="3">
      <calculatedColumnFormula xml:space="preserve"> (1/$J$3)*F32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1DC91-3E24-4094-AD55-5483ED493166}">
  <dimension ref="A1:N29"/>
  <sheetViews>
    <sheetView zoomScale="86" workbookViewId="0">
      <selection activeCell="G13" sqref="G13"/>
    </sheetView>
  </sheetViews>
  <sheetFormatPr defaultRowHeight="14.5" x14ac:dyDescent="0.35"/>
  <cols>
    <col min="1" max="1" width="26.54296875" customWidth="1"/>
    <col min="2" max="2" width="12.08984375" customWidth="1"/>
    <col min="5" max="5" width="8.90625" bestFit="1" customWidth="1"/>
    <col min="6" max="6" width="14.08984375" bestFit="1" customWidth="1"/>
    <col min="7" max="7" width="31.1796875" customWidth="1"/>
    <col min="8" max="8" width="11.81640625" bestFit="1" customWidth="1"/>
    <col min="9" max="9" width="12.453125" bestFit="1" customWidth="1"/>
    <col min="10" max="10" width="8.90625" bestFit="1" customWidth="1"/>
    <col min="12" max="14" width="14" bestFit="1" customWidth="1"/>
  </cols>
  <sheetData>
    <row r="1" spans="1:10" x14ac:dyDescent="0.35">
      <c r="A1" s="1" t="s">
        <v>0</v>
      </c>
      <c r="B1">
        <v>72.599999999999994</v>
      </c>
      <c r="D1" s="1" t="s">
        <v>1</v>
      </c>
      <c r="E1">
        <v>874</v>
      </c>
      <c r="G1" s="1" t="s">
        <v>4</v>
      </c>
      <c r="H1">
        <v>45</v>
      </c>
      <c r="I1" s="1" t="s">
        <v>7</v>
      </c>
      <c r="J1">
        <f>H1*1000</f>
        <v>45000</v>
      </c>
    </row>
    <row r="2" spans="1:10" x14ac:dyDescent="0.35">
      <c r="A2" s="1" t="s">
        <v>14</v>
      </c>
      <c r="B2">
        <f>COS(RADIANS(B1))</f>
        <v>0.29904079225608671</v>
      </c>
      <c r="D2" s="1" t="s">
        <v>2</v>
      </c>
      <c r="E2">
        <v>814</v>
      </c>
      <c r="G2" s="1" t="s">
        <v>5</v>
      </c>
      <c r="H2">
        <v>12</v>
      </c>
      <c r="I2" s="1" t="s">
        <v>7</v>
      </c>
      <c r="J2">
        <f>H2*1000</f>
        <v>12000</v>
      </c>
    </row>
    <row r="3" spans="1:10" x14ac:dyDescent="0.35">
      <c r="A3" s="1" t="s">
        <v>15</v>
      </c>
      <c r="B3">
        <f>SIN(RADIANS(B1))</f>
        <v>0.95424032851627683</v>
      </c>
      <c r="D3" s="1" t="s">
        <v>3</v>
      </c>
      <c r="E3">
        <v>420</v>
      </c>
      <c r="G3" s="1" t="s">
        <v>6</v>
      </c>
      <c r="H3">
        <v>5.5</v>
      </c>
      <c r="I3" s="1" t="s">
        <v>7</v>
      </c>
      <c r="J3">
        <f>H3*1000</f>
        <v>5500</v>
      </c>
    </row>
    <row r="4" spans="1:10" x14ac:dyDescent="0.35">
      <c r="G4" s="1" t="s">
        <v>38</v>
      </c>
      <c r="H4">
        <v>0.28000000000000003</v>
      </c>
    </row>
    <row r="5" spans="1:10" x14ac:dyDescent="0.35">
      <c r="G5" s="1" t="s">
        <v>8</v>
      </c>
      <c r="H5">
        <f>H4*(J2/J1)</f>
        <v>7.4666666666666673E-2</v>
      </c>
    </row>
    <row r="6" spans="1:10" x14ac:dyDescent="0.35">
      <c r="A6" s="1" t="s">
        <v>17</v>
      </c>
    </row>
    <row r="7" spans="1:10" x14ac:dyDescent="0.35">
      <c r="A7" s="1" t="s">
        <v>16</v>
      </c>
      <c r="E7" s="1" t="s">
        <v>18</v>
      </c>
      <c r="H7" s="1" t="s">
        <v>30</v>
      </c>
    </row>
    <row r="8" spans="1:10" x14ac:dyDescent="0.35">
      <c r="A8" s="1" t="s">
        <v>9</v>
      </c>
      <c r="B8">
        <f>B2^2*E1+B3^2*E2+2*B2*B3*E3</f>
        <v>1059.0652221534501</v>
      </c>
      <c r="E8" s="1" t="s">
        <v>19</v>
      </c>
      <c r="F8">
        <f>1/J1</f>
        <v>2.2222222222222223E-5</v>
      </c>
      <c r="H8" s="1" t="s">
        <v>27</v>
      </c>
      <c r="I8">
        <f>B2^2*F13+B3^2*F14+B2*B3*F15</f>
        <v>2.4696663574437311E-2</v>
      </c>
    </row>
    <row r="9" spans="1:10" x14ac:dyDescent="0.35">
      <c r="A9" s="1" t="s">
        <v>10</v>
      </c>
      <c r="B9">
        <f>B3^2*E1+B2^2*E2-2*B2*B3*E3</f>
        <v>628.93477784654965</v>
      </c>
      <c r="E9" s="1" t="s">
        <v>20</v>
      </c>
      <c r="F9">
        <f>1/J2</f>
        <v>8.3333333333333331E-5</v>
      </c>
      <c r="H9" s="1" t="s">
        <v>28</v>
      </c>
      <c r="I9">
        <f>B3^2*F13+B2^2*F14-B2*B3*F15</f>
        <v>4.0746239516185168E-2</v>
      </c>
    </row>
    <row r="10" spans="1:10" x14ac:dyDescent="0.35">
      <c r="A10" s="1" t="s">
        <v>11</v>
      </c>
      <c r="B10">
        <f>-B2*B3*(E1-E2)+(B2^2-B3^2)*E3</f>
        <v>-362.0040748666886</v>
      </c>
      <c r="E10" s="1" t="s">
        <v>21</v>
      </c>
      <c r="F10">
        <f>-H4/J1</f>
        <v>-6.2222222222222232E-6</v>
      </c>
      <c r="H10" s="1" t="s">
        <v>29</v>
      </c>
      <c r="I10">
        <f>-2*B2*B3*(F13-F14)+(B2^2-B3^2)*F15</f>
        <v>6.8999898346454563E-2</v>
      </c>
    </row>
    <row r="11" spans="1:10" x14ac:dyDescent="0.35">
      <c r="E11" s="1" t="s">
        <v>22</v>
      </c>
      <c r="F11">
        <f>-H5/J2</f>
        <v>-6.2222222222222223E-6</v>
      </c>
    </row>
    <row r="12" spans="1:10" x14ac:dyDescent="0.35">
      <c r="E12" s="1" t="s">
        <v>23</v>
      </c>
      <c r="F12">
        <f>1/J3</f>
        <v>1.8181818181818181E-4</v>
      </c>
    </row>
    <row r="13" spans="1:10" x14ac:dyDescent="0.35">
      <c r="E13" s="1" t="s">
        <v>24</v>
      </c>
      <c r="F13">
        <f xml:space="preserve"> F8*B8 + F10*B9</f>
        <v>1.962141076347592E-2</v>
      </c>
    </row>
    <row r="14" spans="1:10" x14ac:dyDescent="0.35">
      <c r="E14" s="1" t="s">
        <v>25</v>
      </c>
      <c r="F14">
        <f xml:space="preserve"> F11*B8 + F9*B9</f>
        <v>4.5821492327146558E-2</v>
      </c>
    </row>
    <row r="15" spans="1:10" x14ac:dyDescent="0.35">
      <c r="E15" s="1" t="s">
        <v>26</v>
      </c>
      <c r="F15">
        <f xml:space="preserve"> F12*B10</f>
        <v>-6.5818922703034285E-2</v>
      </c>
    </row>
    <row r="17" spans="1:14" x14ac:dyDescent="0.35">
      <c r="A17" s="1" t="s">
        <v>31</v>
      </c>
    </row>
    <row r="18" spans="1:14" x14ac:dyDescent="0.35">
      <c r="A18" s="1" t="s">
        <v>32</v>
      </c>
    </row>
    <row r="19" spans="1:14" x14ac:dyDescent="0.35">
      <c r="A19" s="1" t="s">
        <v>33</v>
      </c>
      <c r="B19">
        <f>1-(H4*H5)</f>
        <v>0.97909333333333337</v>
      </c>
      <c r="D19" s="1" t="s">
        <v>40</v>
      </c>
      <c r="L19" s="1" t="s">
        <v>47</v>
      </c>
    </row>
    <row r="20" spans="1:14" x14ac:dyDescent="0.35">
      <c r="D20" s="1" t="s">
        <v>41</v>
      </c>
      <c r="E20" s="1" t="s">
        <v>42</v>
      </c>
      <c r="F20" s="1" t="s">
        <v>43</v>
      </c>
      <c r="H20">
        <f>$B$21*($B$2^4) + 2*($B$23+2*$B$24)*($B$2^2)*($B$3^2) + $B$22*($B$3^4)</f>
        <v>12880.066734002738</v>
      </c>
      <c r="I20">
        <f>($B$21+$B$22-4*$B$24)*($B$2^2)*($B$3^2) + $B$23*(($B$2^4)+($B$3^4))</f>
        <v>5821.9685325982146</v>
      </c>
      <c r="J20">
        <f>($B$21-$B$23-2*$B$24)*($B$2^3)*$B$3 - ($B$22-$B$23-2*$B$24)*$B$2*($B$3^3)</f>
        <v>1369.8465601102434</v>
      </c>
      <c r="L20" cm="1">
        <f t="array" ref="L20:N22">MINVERSE(H20:J22)</f>
        <v>8.3065066497545987E-5</v>
      </c>
      <c r="M20">
        <v>-1.1418840662905018E-5</v>
      </c>
      <c r="N20">
        <v>-2.4845620186157976E-6</v>
      </c>
    </row>
    <row r="21" spans="1:14" x14ac:dyDescent="0.35">
      <c r="A21" s="1" t="s">
        <v>34</v>
      </c>
      <c r="B21">
        <f>J1/B19</f>
        <v>45960.888985728292</v>
      </c>
      <c r="D21" s="1" t="s">
        <v>42</v>
      </c>
      <c r="E21" s="1" t="s">
        <v>45</v>
      </c>
      <c r="F21" s="1" t="s">
        <v>44</v>
      </c>
      <c r="G21" s="2" t="s">
        <v>39</v>
      </c>
      <c r="H21">
        <f>I20</f>
        <v>5821.9685325982146</v>
      </c>
      <c r="I21">
        <f>$B$21*($B$3^4) + 2*($B$23+2*$B$24)*($B$2^2)*($B$3^2) + $B$22*($B$2^4)</f>
        <v>40556.61500459208</v>
      </c>
      <c r="J21">
        <f>($B$21-$B$23-2*$B$24)*$B$2*($B$3^3) - ($B$22-$B$23-2*$B$24)*($B$2^3)*$B$3</f>
        <v>8248.0045131205588</v>
      </c>
      <c r="L21">
        <v>-1.1418840662905019E-5</v>
      </c>
      <c r="M21">
        <v>3.2883725939375178E-5</v>
      </c>
      <c r="N21">
        <v>-3.2392378228766155E-5</v>
      </c>
    </row>
    <row r="22" spans="1:14" x14ac:dyDescent="0.35">
      <c r="A22" s="1" t="s">
        <v>35</v>
      </c>
      <c r="B22">
        <f>J2/B19</f>
        <v>12256.237062860877</v>
      </c>
      <c r="D22" s="1" t="s">
        <v>43</v>
      </c>
      <c r="E22" s="1" t="s">
        <v>44</v>
      </c>
      <c r="F22" s="1" t="s">
        <v>46</v>
      </c>
      <c r="H22">
        <f>J20</f>
        <v>1369.8465601102434</v>
      </c>
      <c r="I22">
        <f>J21</f>
        <v>8248.0045131205588</v>
      </c>
      <c r="J22">
        <f>($B$21+$B$22-2*$B$23-2*$B$24)*($B$2^2)*($B$3^2) + $B$24*(($B$2^4)+($B$3^4))</f>
        <v>7890.2221549971682</v>
      </c>
      <c r="L22">
        <v>-2.4845620186157942E-6</v>
      </c>
      <c r="M22">
        <v>-3.2392378228766162E-5</v>
      </c>
      <c r="N22">
        <v>1.6103170805545065E-4</v>
      </c>
    </row>
    <row r="23" spans="1:14" x14ac:dyDescent="0.35">
      <c r="A23" s="1" t="s">
        <v>36</v>
      </c>
      <c r="B23">
        <f>H4*J2/B19</f>
        <v>3431.7463776010463</v>
      </c>
    </row>
    <row r="24" spans="1:14" x14ac:dyDescent="0.35">
      <c r="A24" s="1" t="s">
        <v>37</v>
      </c>
      <c r="B24">
        <f>J3</f>
        <v>5500</v>
      </c>
    </row>
    <row r="26" spans="1:14" x14ac:dyDescent="0.35">
      <c r="A26" s="1" t="s">
        <v>30</v>
      </c>
    </row>
    <row r="27" spans="1:14" x14ac:dyDescent="0.35">
      <c r="A27" s="1" t="s">
        <v>27</v>
      </c>
      <c r="B27" cm="1">
        <f t="array" ref="B27:B29">MMULT($L$20:$N$22, $E$1:$E$3)</f>
        <v>6.2260415771431876E-2</v>
      </c>
    </row>
    <row r="28" spans="1:14" x14ac:dyDescent="0.35">
      <c r="A28" s="1" t="s">
        <v>28</v>
      </c>
      <c r="B28">
        <v>3.1824873191906213E-3</v>
      </c>
    </row>
    <row r="29" spans="1:14" x14ac:dyDescent="0.35">
      <c r="A29" s="4" t="s">
        <v>29</v>
      </c>
      <c r="B29">
        <v>3.9094414300803418E-2</v>
      </c>
      <c r="G29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24226-6166-49EE-8071-F486C2F8B9A3}">
  <dimension ref="A1:Q71"/>
  <sheetViews>
    <sheetView tabSelected="1" zoomScale="60" workbookViewId="0">
      <selection activeCell="M33" sqref="M33"/>
    </sheetView>
  </sheetViews>
  <sheetFormatPr defaultRowHeight="14.5" x14ac:dyDescent="0.35"/>
  <cols>
    <col min="1" max="1" width="26.54296875" customWidth="1"/>
    <col min="2" max="2" width="12.08984375" customWidth="1"/>
    <col min="5" max="5" width="8.90625" bestFit="1" customWidth="1"/>
    <col min="6" max="6" width="14.08984375" bestFit="1" customWidth="1"/>
    <col min="7" max="7" width="31.1796875" customWidth="1"/>
    <col min="8" max="8" width="11.81640625" bestFit="1" customWidth="1"/>
    <col min="9" max="9" width="12.453125" bestFit="1" customWidth="1"/>
    <col min="10" max="10" width="8.90625" bestFit="1" customWidth="1"/>
    <col min="12" max="14" width="14" bestFit="1" customWidth="1"/>
  </cols>
  <sheetData>
    <row r="1" spans="1:16" x14ac:dyDescent="0.35">
      <c r="A1" s="1" t="s">
        <v>0</v>
      </c>
      <c r="B1">
        <v>72.599999999999994</v>
      </c>
      <c r="D1" s="1" t="s">
        <v>1</v>
      </c>
      <c r="E1">
        <v>874</v>
      </c>
      <c r="G1" s="1" t="s">
        <v>4</v>
      </c>
      <c r="H1">
        <v>45</v>
      </c>
      <c r="I1" s="1" t="s">
        <v>7</v>
      </c>
      <c r="J1">
        <f>H1*1000</f>
        <v>45000</v>
      </c>
      <c r="L1" s="7" t="s">
        <v>71</v>
      </c>
      <c r="M1" s="7"/>
      <c r="N1" s="7" t="s">
        <v>74</v>
      </c>
    </row>
    <row r="2" spans="1:16" x14ac:dyDescent="0.35">
      <c r="A2" s="1" t="s">
        <v>14</v>
      </c>
      <c r="B2">
        <f>COS(RADIANS(B1))</f>
        <v>0.29904079225608671</v>
      </c>
      <c r="D2" s="1" t="s">
        <v>2</v>
      </c>
      <c r="E2">
        <v>814</v>
      </c>
      <c r="G2" s="1" t="s">
        <v>5</v>
      </c>
      <c r="H2">
        <v>12</v>
      </c>
      <c r="I2" s="1" t="s">
        <v>7</v>
      </c>
      <c r="J2">
        <f>H2*1000</f>
        <v>12000</v>
      </c>
      <c r="L2" s="7" t="s">
        <v>72</v>
      </c>
      <c r="M2" s="7"/>
      <c r="N2" s="7" t="s">
        <v>75</v>
      </c>
    </row>
    <row r="3" spans="1:16" ht="29" x14ac:dyDescent="0.35">
      <c r="A3" s="1" t="s">
        <v>15</v>
      </c>
      <c r="B3">
        <f>SIN(RADIANS(B1))</f>
        <v>0.95424032851627683</v>
      </c>
      <c r="D3" s="1" t="s">
        <v>3</v>
      </c>
      <c r="E3">
        <v>420</v>
      </c>
      <c r="G3" s="1" t="s">
        <v>6</v>
      </c>
      <c r="H3">
        <v>5.5</v>
      </c>
      <c r="I3" s="1" t="s">
        <v>7</v>
      </c>
      <c r="J3">
        <f>H3*1000</f>
        <v>5500</v>
      </c>
      <c r="L3" s="6" t="s">
        <v>73</v>
      </c>
    </row>
    <row r="4" spans="1:16" x14ac:dyDescent="0.35">
      <c r="G4" s="1" t="s">
        <v>38</v>
      </c>
      <c r="H4">
        <v>0.28000000000000003</v>
      </c>
    </row>
    <row r="5" spans="1:16" x14ac:dyDescent="0.35">
      <c r="G5" s="1" t="s">
        <v>8</v>
      </c>
      <c r="H5">
        <f>H4*(J2/J1)</f>
        <v>7.4666666666666673E-2</v>
      </c>
    </row>
    <row r="6" spans="1:16" x14ac:dyDescent="0.35">
      <c r="A6" s="1" t="s">
        <v>17</v>
      </c>
    </row>
    <row r="7" spans="1:16" x14ac:dyDescent="0.35">
      <c r="A7" s="1" t="s">
        <v>16</v>
      </c>
      <c r="E7" s="1" t="s">
        <v>18</v>
      </c>
      <c r="H7" s="1" t="s">
        <v>30</v>
      </c>
    </row>
    <row r="8" spans="1:16" x14ac:dyDescent="0.35">
      <c r="A8" s="1" t="s">
        <v>9</v>
      </c>
      <c r="B8">
        <f>B2^2*E1+B3^2*E2+2*B2*B3*E3</f>
        <v>1059.0652221534501</v>
      </c>
      <c r="E8" s="1" t="s">
        <v>19</v>
      </c>
      <c r="F8">
        <f>1/J1</f>
        <v>2.2222222222222223E-5</v>
      </c>
      <c r="H8" s="1" t="s">
        <v>27</v>
      </c>
      <c r="I8" cm="1">
        <f t="array" ref="I8:I10">MMULT(N12:P14, F13:F15)</f>
        <v>6.2260415771431848E-2</v>
      </c>
    </row>
    <row r="9" spans="1:16" x14ac:dyDescent="0.35">
      <c r="A9" s="1" t="s">
        <v>10</v>
      </c>
      <c r="B9">
        <f>B3^2*E1+B2^2*E2-2*B2*B3*E3</f>
        <v>628.93477784654965</v>
      </c>
      <c r="E9" s="1" t="s">
        <v>20</v>
      </c>
      <c r="F9">
        <f>1/J2</f>
        <v>8.3333333333333331E-5</v>
      </c>
      <c r="H9" s="1" t="s">
        <v>28</v>
      </c>
      <c r="I9">
        <v>3.1824873191906265E-3</v>
      </c>
    </row>
    <row r="10" spans="1:16" x14ac:dyDescent="0.35">
      <c r="A10" s="1" t="s">
        <v>11</v>
      </c>
      <c r="B10">
        <f>-B2*B3*(E1-E2)+(B2^2-B3^2)*E3</f>
        <v>-362.0040748666886</v>
      </c>
      <c r="E10" s="1" t="s">
        <v>21</v>
      </c>
      <c r="F10">
        <f>-H4/J1</f>
        <v>-6.2222222222222232E-6</v>
      </c>
      <c r="H10" s="1" t="s">
        <v>29</v>
      </c>
      <c r="I10">
        <v>3.9094414300803432E-2</v>
      </c>
    </row>
    <row r="11" spans="1:16" x14ac:dyDescent="0.35">
      <c r="E11" s="1" t="s">
        <v>22</v>
      </c>
      <c r="F11">
        <f>-H5/J2</f>
        <v>-6.2222222222222223E-6</v>
      </c>
    </row>
    <row r="12" spans="1:16" x14ac:dyDescent="0.35">
      <c r="E12" s="1" t="s">
        <v>23</v>
      </c>
      <c r="F12">
        <f>1/J3</f>
        <v>1.8181818181818181E-4</v>
      </c>
      <c r="I12">
        <f>$B$2^2</f>
        <v>8.9425395433148008E-2</v>
      </c>
      <c r="J12">
        <f>$B$3^2</f>
        <v>0.91057460456685191</v>
      </c>
      <c r="K12">
        <f>$B$2*$B$3</f>
        <v>0.28535678384221586</v>
      </c>
      <c r="N12" cm="1">
        <f t="array" ref="N12:P14">MINVERSE(I12:K14)</f>
        <v>8.9425395433148008E-2</v>
      </c>
      <c r="O12">
        <v>0.91057460456685202</v>
      </c>
      <c r="P12">
        <v>-0.28535678384221591</v>
      </c>
    </row>
    <row r="13" spans="1:16" x14ac:dyDescent="0.35">
      <c r="E13" s="1" t="s">
        <v>24</v>
      </c>
      <c r="F13">
        <f xml:space="preserve"> F8*B8 + F10*B9</f>
        <v>1.962141076347592E-2</v>
      </c>
      <c r="H13" s="1" t="s">
        <v>48</v>
      </c>
      <c r="I13">
        <f>$B$3^2</f>
        <v>0.91057460456685191</v>
      </c>
      <c r="J13">
        <f>$B$2^2</f>
        <v>8.9425395433148008E-2</v>
      </c>
      <c r="K13">
        <f>-$B$2*$B$3</f>
        <v>-0.28535678384221586</v>
      </c>
      <c r="M13" t="s">
        <v>49</v>
      </c>
      <c r="N13">
        <v>0.91057460456685213</v>
      </c>
      <c r="O13">
        <v>8.9425395433147981E-2</v>
      </c>
      <c r="P13">
        <v>0.28535678384221591</v>
      </c>
    </row>
    <row r="14" spans="1:16" x14ac:dyDescent="0.35">
      <c r="E14" s="1" t="s">
        <v>25</v>
      </c>
      <c r="F14">
        <f xml:space="preserve"> F11*B8 + F9*B9</f>
        <v>4.5821492327146558E-2</v>
      </c>
      <c r="I14">
        <f>-2*$B$2*$B$3</f>
        <v>-0.57071356768443171</v>
      </c>
      <c r="J14">
        <f>2*$B$2*$B$3</f>
        <v>0.57071356768443171</v>
      </c>
      <c r="K14">
        <f>$B$2^2-$B$3^2</f>
        <v>-0.82114920913370393</v>
      </c>
      <c r="N14">
        <v>0.57071356768443182</v>
      </c>
      <c r="O14">
        <v>-0.57071356768443171</v>
      </c>
      <c r="P14">
        <v>-0.82114920913370404</v>
      </c>
    </row>
    <row r="15" spans="1:16" x14ac:dyDescent="0.35">
      <c r="E15" s="1" t="s">
        <v>26</v>
      </c>
      <c r="F15">
        <f xml:space="preserve"> F12*B10</f>
        <v>-6.5818922703034285E-2</v>
      </c>
    </row>
    <row r="17" spans="1:14" x14ac:dyDescent="0.35">
      <c r="A17" s="1" t="s">
        <v>31</v>
      </c>
    </row>
    <row r="18" spans="1:14" x14ac:dyDescent="0.35">
      <c r="A18" s="1" t="s">
        <v>32</v>
      </c>
    </row>
    <row r="19" spans="1:14" x14ac:dyDescent="0.35">
      <c r="A19" s="1" t="s">
        <v>33</v>
      </c>
      <c r="B19">
        <f>1-(H4*H5)</f>
        <v>0.97909333333333337</v>
      </c>
      <c r="D19" s="1" t="s">
        <v>40</v>
      </c>
      <c r="L19" s="1" t="s">
        <v>47</v>
      </c>
    </row>
    <row r="20" spans="1:14" x14ac:dyDescent="0.35">
      <c r="D20" s="1" t="s">
        <v>41</v>
      </c>
      <c r="E20" s="1" t="s">
        <v>42</v>
      </c>
      <c r="F20" s="1" t="s">
        <v>43</v>
      </c>
      <c r="H20">
        <f>$B$21*($B$2^4) + 2*($B$23+2*$B$24)*($B$2^2)*($B$3^2) + $B$22*($B$3^4)</f>
        <v>12880.066734002738</v>
      </c>
      <c r="I20">
        <f>($B$21+$B$22-4*$B$24)*($B$2^2)*($B$3^2) + $B$23*(($B$2^4)+($B$3^4))</f>
        <v>5821.9685325982146</v>
      </c>
      <c r="J20">
        <f>($B$21-$B$23-2*$B$24)*($B$2^3)*$B$3 - ($B$22-$B$23-2*$B$24)*$B$2*($B$3^3)</f>
        <v>1369.8465601102434</v>
      </c>
      <c r="L20" cm="1">
        <f t="array" ref="L20:N22">MINVERSE(H20:J22)</f>
        <v>8.3065066497545987E-5</v>
      </c>
      <c r="M20">
        <v>-1.1418840662905018E-5</v>
      </c>
      <c r="N20">
        <v>-2.4845620186157976E-6</v>
      </c>
    </row>
    <row r="21" spans="1:14" x14ac:dyDescent="0.35">
      <c r="A21" s="1" t="s">
        <v>34</v>
      </c>
      <c r="B21">
        <f>J1/B19</f>
        <v>45960.888985728292</v>
      </c>
      <c r="D21" s="1" t="s">
        <v>42</v>
      </c>
      <c r="E21" s="1" t="s">
        <v>45</v>
      </c>
      <c r="F21" s="1" t="s">
        <v>44</v>
      </c>
      <c r="G21" s="2" t="s">
        <v>39</v>
      </c>
      <c r="H21">
        <f>I20</f>
        <v>5821.9685325982146</v>
      </c>
      <c r="I21">
        <f>$B$21*($B$3^4) + 2*($B$23+2*$B$24)*($B$2^2)*($B$3^2) + $B$22*($B$2^4)</f>
        <v>40556.61500459208</v>
      </c>
      <c r="J21">
        <f>($B$21-$B$23-2*$B$24)*$B$2*($B$3^3) - ($B$22-$B$23-2*$B$24)*($B$2^3)*$B$3</f>
        <v>8248.0045131205588</v>
      </c>
      <c r="L21">
        <v>-1.1418840662905019E-5</v>
      </c>
      <c r="M21">
        <v>3.2883725939375178E-5</v>
      </c>
      <c r="N21">
        <v>-3.2392378228766155E-5</v>
      </c>
    </row>
    <row r="22" spans="1:14" x14ac:dyDescent="0.35">
      <c r="A22" s="1" t="s">
        <v>35</v>
      </c>
      <c r="B22">
        <f>J2/B19</f>
        <v>12256.237062860877</v>
      </c>
      <c r="D22" s="1" t="s">
        <v>43</v>
      </c>
      <c r="E22" s="1" t="s">
        <v>44</v>
      </c>
      <c r="F22" s="1" t="s">
        <v>46</v>
      </c>
      <c r="H22">
        <f>J20</f>
        <v>1369.8465601102434</v>
      </c>
      <c r="I22">
        <f>J21</f>
        <v>8248.0045131205588</v>
      </c>
      <c r="J22">
        <f>($B$21+$B$22-2*$B$23-2*$B$24)*($B$2^2)*($B$3^2) + $B$24*(($B$2^4)+($B$3^4))</f>
        <v>7890.2221549971682</v>
      </c>
      <c r="L22">
        <v>-2.4845620186157942E-6</v>
      </c>
      <c r="M22">
        <v>-3.2392378228766162E-5</v>
      </c>
      <c r="N22">
        <v>1.6103170805545065E-4</v>
      </c>
    </row>
    <row r="23" spans="1:14" x14ac:dyDescent="0.35">
      <c r="A23" s="1" t="s">
        <v>36</v>
      </c>
      <c r="B23">
        <f>H4*J2/B19</f>
        <v>3431.7463776010463</v>
      </c>
    </row>
    <row r="24" spans="1:14" x14ac:dyDescent="0.35">
      <c r="A24" s="1" t="s">
        <v>37</v>
      </c>
      <c r="B24">
        <f>J3</f>
        <v>5500</v>
      </c>
    </row>
    <row r="26" spans="1:14" x14ac:dyDescent="0.35">
      <c r="A26" s="1" t="s">
        <v>30</v>
      </c>
      <c r="G26" s="1" t="s">
        <v>50</v>
      </c>
    </row>
    <row r="27" spans="1:14" x14ac:dyDescent="0.35">
      <c r="A27" s="1" t="s">
        <v>27</v>
      </c>
      <c r="B27" cm="1">
        <f t="array" ref="B27:B29">MMULT($L$20:$N$22, $E$1:$E$3)</f>
        <v>6.2260415771431876E-2</v>
      </c>
      <c r="G27" s="1" t="s">
        <v>24</v>
      </c>
      <c r="H27" cm="1">
        <f t="array" ref="H27:H29">MMULT(I12:K14,B27:B29)</f>
        <v>1.9621410763475913E-2</v>
      </c>
    </row>
    <row r="28" spans="1:14" x14ac:dyDescent="0.35">
      <c r="A28" s="1" t="s">
        <v>28</v>
      </c>
      <c r="B28">
        <v>3.1824873191906213E-3</v>
      </c>
      <c r="G28" s="1" t="s">
        <v>25</v>
      </c>
      <c r="H28">
        <v>4.5821492327146579E-2</v>
      </c>
    </row>
    <row r="29" spans="1:14" x14ac:dyDescent="0.35">
      <c r="A29" s="4" t="s">
        <v>29</v>
      </c>
      <c r="B29">
        <v>3.9094414300803418E-2</v>
      </c>
      <c r="G29" s="1" t="s">
        <v>26</v>
      </c>
      <c r="H29">
        <v>-6.5818922703034299E-2</v>
      </c>
    </row>
    <row r="30" spans="1:14" x14ac:dyDescent="0.35">
      <c r="A30" s="1" t="s">
        <v>52</v>
      </c>
    </row>
    <row r="31" spans="1:14" x14ac:dyDescent="0.35">
      <c r="A31" t="s">
        <v>51</v>
      </c>
      <c r="B31" t="s">
        <v>12</v>
      </c>
      <c r="C31" t="s">
        <v>13</v>
      </c>
      <c r="D31" t="s">
        <v>9</v>
      </c>
      <c r="E31" t="s">
        <v>10</v>
      </c>
      <c r="F31" t="s">
        <v>11</v>
      </c>
      <c r="G31" s="1" t="s">
        <v>27</v>
      </c>
      <c r="H31" t="s">
        <v>28</v>
      </c>
      <c r="I31" t="s">
        <v>29</v>
      </c>
      <c r="J31" t="s">
        <v>24</v>
      </c>
      <c r="K31" t="s">
        <v>25</v>
      </c>
      <c r="L31" t="s">
        <v>26</v>
      </c>
    </row>
    <row r="32" spans="1:14" x14ac:dyDescent="0.35">
      <c r="A32">
        <v>0</v>
      </c>
      <c r="B32">
        <f>COS(RADIANS(A32))</f>
        <v>1</v>
      </c>
      <c r="C32">
        <f>SIN(RADIANS(A32))</f>
        <v>0</v>
      </c>
      <c r="D32">
        <f t="shared" ref="D32:D50" si="0">B32^2*$E$1+C32^2*$E$2+2*B32*C32*$E$3</f>
        <v>874</v>
      </c>
      <c r="E32">
        <f t="shared" ref="E32:E51" si="1">C32^2*$E$1+B32^2*$E$2-2*B32*C32*$E$3</f>
        <v>814</v>
      </c>
      <c r="F32">
        <f t="shared" ref="F32:F50" si="2">-B32*C32*($E$1-$E$2)+(B32^2-C32^2)*$E$3</f>
        <v>420</v>
      </c>
      <c r="G32" s="5">
        <f t="shared" ref="G32:G50" si="3">(B32^2)*J32+C32*K32+B32*C32*L32</f>
        <v>1.4357333333333333E-2</v>
      </c>
      <c r="H32" s="5">
        <f t="shared" ref="H32:H51" si="4">($C32^2)*$J32 + ($B32^2)*$K32 - ($B32*$C32)*$L32</f>
        <v>6.239511111111111E-2</v>
      </c>
      <c r="I32" s="5">
        <f t="shared" ref="I32:I51" si="5">2*$B32*$C32*($K32-$J32) + (($B32^2)-($C32^2))*$L32</f>
        <v>7.6363636363636356E-2</v>
      </c>
      <c r="J32" s="5">
        <f t="shared" ref="J32:J51" si="6">(1/$J$1)*D32+ (-$H$4/$J$1)*E32</f>
        <v>1.4357333333333333E-2</v>
      </c>
      <c r="K32" s="5">
        <f t="shared" ref="K32:K51" si="7" xml:space="preserve"> (-$H$5/$J$2)*D32 + (1/$J$2)*E32</f>
        <v>6.239511111111111E-2</v>
      </c>
      <c r="L32" s="5">
        <f t="shared" ref="L32:L51" si="8" xml:space="preserve"> (1/$J$3)*F32</f>
        <v>7.6363636363636356E-2</v>
      </c>
    </row>
    <row r="33" spans="1:12" x14ac:dyDescent="0.35">
      <c r="A33">
        <v>5</v>
      </c>
      <c r="B33">
        <f>COS(RADIANS(A33))</f>
        <v>0.99619469809174555</v>
      </c>
      <c r="C33">
        <f t="shared" ref="C33:C50" si="9">SIN(RADIANS(A33))</f>
        <v>8.7155742747658166E-2</v>
      </c>
      <c r="D33">
        <f t="shared" si="0"/>
        <v>946.47646721047704</v>
      </c>
      <c r="E33">
        <f t="shared" si="1"/>
        <v>741.52353278952307</v>
      </c>
      <c r="F33">
        <f t="shared" si="2"/>
        <v>408.40981093511954</v>
      </c>
      <c r="G33" s="5">
        <f t="shared" si="3"/>
        <v>2.7613797482613729E-2</v>
      </c>
      <c r="H33" s="5">
        <f t="shared" si="4"/>
        <v>4.9157265547851603E-2</v>
      </c>
      <c r="I33" s="5">
        <f t="shared" si="5"/>
        <v>7.9984803375001343E-2</v>
      </c>
      <c r="J33" s="5">
        <f t="shared" si="6"/>
        <v>1.6418886178431347E-2</v>
      </c>
      <c r="K33" s="5">
        <f t="shared" si="7"/>
        <v>5.5904440825372846E-2</v>
      </c>
      <c r="L33" s="5">
        <f t="shared" si="8"/>
        <v>7.4256329260930815E-2</v>
      </c>
    </row>
    <row r="34" spans="1:12" x14ac:dyDescent="0.35">
      <c r="A34">
        <v>10</v>
      </c>
      <c r="B34">
        <f t="shared" ref="B32:B50" si="10">COS(RADIANS(A34))</f>
        <v>0.98480775301220802</v>
      </c>
      <c r="C34">
        <f t="shared" si="9"/>
        <v>0.17364817766693033</v>
      </c>
      <c r="D34">
        <f t="shared" si="0"/>
        <v>1015.8392388203579</v>
      </c>
      <c r="E34">
        <f t="shared" si="1"/>
        <v>672.1607611796419</v>
      </c>
      <c r="F34">
        <f t="shared" si="2"/>
        <v>384.4102964303114</v>
      </c>
      <c r="G34" s="5">
        <f t="shared" si="3"/>
        <v>3.841869118975122E-2</v>
      </c>
      <c r="H34" s="5">
        <f t="shared" si="4"/>
        <v>3.679641673501842E-2</v>
      </c>
      <c r="I34" s="5">
        <f t="shared" si="5"/>
        <v>7.6383216890170372E-2</v>
      </c>
      <c r="J34" s="5">
        <f t="shared" si="6"/>
        <v>1.8391871682001293E-2</v>
      </c>
      <c r="K34" s="5">
        <f t="shared" si="7"/>
        <v>4.9692619278976821E-2</v>
      </c>
      <c r="L34" s="5">
        <f t="shared" si="8"/>
        <v>6.989278116914753E-2</v>
      </c>
    </row>
    <row r="35" spans="1:12" x14ac:dyDescent="0.35">
      <c r="A35">
        <v>15</v>
      </c>
      <c r="B35">
        <f t="shared" si="10"/>
        <v>0.96592582628906831</v>
      </c>
      <c r="C35">
        <f t="shared" si="9"/>
        <v>0.25881904510252074</v>
      </c>
      <c r="D35">
        <f t="shared" si="0"/>
        <v>1079.980762113533</v>
      </c>
      <c r="E35">
        <f t="shared" si="1"/>
        <v>608.01923788646684</v>
      </c>
      <c r="F35">
        <f t="shared" si="2"/>
        <v>348.73066958946424</v>
      </c>
      <c r="G35" s="5">
        <f t="shared" si="3"/>
        <v>4.6088177854503067E-2</v>
      </c>
      <c r="H35" s="5">
        <f t="shared" si="4"/>
        <v>2.6507249690100945E-2</v>
      </c>
      <c r="I35" s="5">
        <f t="shared" si="5"/>
        <v>6.6776863732051064E-2</v>
      </c>
      <c r="J35" s="5">
        <f t="shared" si="6"/>
        <v>2.0216341677896051E-2</v>
      </c>
      <c r="K35" s="5">
        <f t="shared" si="7"/>
        <v>4.3948389526276922E-2</v>
      </c>
      <c r="L35" s="5">
        <f t="shared" si="8"/>
        <v>6.3405576288993501E-2</v>
      </c>
    </row>
    <row r="36" spans="1:12" x14ac:dyDescent="0.35">
      <c r="A36">
        <v>20</v>
      </c>
      <c r="B36">
        <f t="shared" si="10"/>
        <v>0.93969262078590843</v>
      </c>
      <c r="C36">
        <f t="shared" si="9"/>
        <v>0.34202014332566871</v>
      </c>
      <c r="D36">
        <f t="shared" si="0"/>
        <v>1136.9521293619159</v>
      </c>
      <c r="E36">
        <f t="shared" si="1"/>
        <v>551.04787063808408</v>
      </c>
      <c r="F36">
        <f t="shared" si="2"/>
        <v>302.45503781937464</v>
      </c>
      <c r="G36" s="5">
        <f t="shared" si="3"/>
        <v>5.024267769709935E-2</v>
      </c>
      <c r="H36" s="5">
        <f t="shared" si="4"/>
        <v>1.9182530264854194E-2</v>
      </c>
      <c r="I36" s="5">
        <f t="shared" si="5"/>
        <v>5.305963061318026E-2</v>
      </c>
      <c r="J36" s="5">
        <f t="shared" si="6"/>
        <v>2.1836860568516719E-2</v>
      </c>
      <c r="K36" s="5">
        <f t="shared" si="7"/>
        <v>3.8846287081588417E-2</v>
      </c>
      <c r="L36" s="5">
        <f t="shared" si="8"/>
        <v>5.4991825058068114E-2</v>
      </c>
    </row>
    <row r="37" spans="1:12" x14ac:dyDescent="0.35">
      <c r="A37">
        <v>25</v>
      </c>
      <c r="B37">
        <f t="shared" si="10"/>
        <v>0.90630778703664994</v>
      </c>
      <c r="C37">
        <f t="shared" si="9"/>
        <v>0.42261826174069944</v>
      </c>
      <c r="D37">
        <f t="shared" si="0"/>
        <v>1185.0222944005668</v>
      </c>
      <c r="E37">
        <f t="shared" si="1"/>
        <v>502.97770559943302</v>
      </c>
      <c r="F37">
        <f t="shared" si="2"/>
        <v>246.98946277477714</v>
      </c>
      <c r="G37" s="5">
        <f t="shared" si="3"/>
        <v>5.0858023317412071E-2</v>
      </c>
      <c r="H37" s="5">
        <f t="shared" si="4"/>
        <v>1.5316006097827618E-2</v>
      </c>
      <c r="I37" s="5">
        <f t="shared" si="5"/>
        <v>3.7550534197812471E-2</v>
      </c>
      <c r="J37" s="5">
        <f t="shared" si="6"/>
        <v>2.3204189707393904E-2</v>
      </c>
      <c r="K37" s="5">
        <f t="shared" si="7"/>
        <v>3.4541336745904774E-2</v>
      </c>
      <c r="L37" s="5">
        <f t="shared" si="8"/>
        <v>4.4907175049959475E-2</v>
      </c>
    </row>
    <row r="38" spans="1:12" x14ac:dyDescent="0.35">
      <c r="A38">
        <v>30</v>
      </c>
      <c r="B38">
        <f t="shared" si="10"/>
        <v>0.86602540378443871</v>
      </c>
      <c r="C38">
        <f t="shared" si="9"/>
        <v>0.49999999999999994</v>
      </c>
      <c r="D38">
        <f t="shared" si="0"/>
        <v>1222.7306695894642</v>
      </c>
      <c r="E38">
        <f t="shared" si="1"/>
        <v>465.26933041053582</v>
      </c>
      <c r="F38">
        <f t="shared" si="2"/>
        <v>184.01923788646693</v>
      </c>
      <c r="G38" s="5">
        <f t="shared" si="3"/>
        <v>4.8277516454903469E-2</v>
      </c>
      <c r="H38" s="5">
        <f t="shared" si="4"/>
        <v>1.4954694856598498E-2</v>
      </c>
      <c r="I38" s="5">
        <f t="shared" si="5"/>
        <v>2.2693822487648046E-2</v>
      </c>
      <c r="J38" s="5">
        <f t="shared" si="6"/>
        <v>2.4276783490544761E-2</v>
      </c>
      <c r="K38" s="5">
        <f t="shared" si="7"/>
        <v>3.1164342256765763E-2</v>
      </c>
      <c r="L38" s="5">
        <f t="shared" si="8"/>
        <v>3.3458043252084894E-2</v>
      </c>
    </row>
    <row r="39" spans="1:12" x14ac:dyDescent="0.35">
      <c r="A39">
        <v>35</v>
      </c>
      <c r="B39">
        <f t="shared" si="10"/>
        <v>0.8191520442889918</v>
      </c>
      <c r="C39">
        <f t="shared" si="9"/>
        <v>0.57357643635104605</v>
      </c>
      <c r="D39">
        <f t="shared" si="0"/>
        <v>1248.9315050298515</v>
      </c>
      <c r="E39">
        <f t="shared" si="1"/>
        <v>439.06849497014832</v>
      </c>
      <c r="F39">
        <f t="shared" si="2"/>
        <v>115.45768157320364</v>
      </c>
      <c r="G39" s="5">
        <f t="shared" si="3"/>
        <v>4.3182481303162303E-2</v>
      </c>
      <c r="H39" s="5">
        <f t="shared" si="4"/>
        <v>1.7705954714032614E-2</v>
      </c>
      <c r="I39" s="5">
        <f t="shared" si="5"/>
        <v>1.0746733222810006E-2</v>
      </c>
      <c r="J39" s="5">
        <f t="shared" si="6"/>
        <v>2.5022051698626889E-2</v>
      </c>
      <c r="K39" s="5">
        <f t="shared" si="7"/>
        <v>2.8817911882882172E-2</v>
      </c>
      <c r="L39" s="5">
        <f t="shared" si="8"/>
        <v>2.099230574058248E-2</v>
      </c>
    </row>
    <row r="40" spans="1:12" x14ac:dyDescent="0.35">
      <c r="A40">
        <v>40</v>
      </c>
      <c r="B40">
        <f t="shared" si="10"/>
        <v>0.76604444311897801</v>
      </c>
      <c r="C40">
        <f t="shared" si="9"/>
        <v>0.64278760968653925</v>
      </c>
      <c r="D40">
        <f t="shared" si="0"/>
        <v>1262.828701595135</v>
      </c>
      <c r="E40">
        <f t="shared" si="1"/>
        <v>425.17129840486461</v>
      </c>
      <c r="F40">
        <f t="shared" si="2"/>
        <v>43.388002029744541</v>
      </c>
      <c r="G40" s="5">
        <f t="shared" si="3"/>
        <v>3.6523754944811394E-2</v>
      </c>
      <c r="H40" s="5">
        <f t="shared" si="4"/>
        <v>2.2798097110729255E-2</v>
      </c>
      <c r="I40" s="5">
        <f t="shared" si="5"/>
        <v>3.4930998210394833E-3</v>
      </c>
      <c r="J40" s="5">
        <f t="shared" si="6"/>
        <v>2.5417349734261623E-2</v>
      </c>
      <c r="K40" s="5">
        <f t="shared" si="7"/>
        <v>2.7573340723813428E-2</v>
      </c>
      <c r="L40" s="5">
        <f t="shared" si="8"/>
        <v>7.8887276417717346E-3</v>
      </c>
    </row>
    <row r="41" spans="1:12" x14ac:dyDescent="0.35">
      <c r="A41">
        <v>45</v>
      </c>
      <c r="B41">
        <f t="shared" si="10"/>
        <v>0.70710678118654757</v>
      </c>
      <c r="C41">
        <f t="shared" si="9"/>
        <v>0.70710678118654746</v>
      </c>
      <c r="D41">
        <f t="shared" si="0"/>
        <v>1264</v>
      </c>
      <c r="E41">
        <f t="shared" si="1"/>
        <v>424</v>
      </c>
      <c r="F41">
        <f t="shared" si="2"/>
        <v>-29.999999999999908</v>
      </c>
      <c r="G41" s="5">
        <f t="shared" si="3"/>
        <v>2.9421183941373233E-2</v>
      </c>
      <c r="H41" s="5">
        <f t="shared" si="4"/>
        <v>2.9186828282828273E-2</v>
      </c>
      <c r="I41" s="5">
        <f t="shared" si="5"/>
        <v>2.0177777777777802E-3</v>
      </c>
      <c r="J41" s="5">
        <f t="shared" si="6"/>
        <v>2.5450666666666667E-2</v>
      </c>
      <c r="K41" s="5">
        <f t="shared" si="7"/>
        <v>2.7468444444444448E-2</v>
      </c>
      <c r="L41" s="5">
        <f t="shared" si="8"/>
        <v>-5.4545454545454376E-3</v>
      </c>
    </row>
    <row r="42" spans="1:12" x14ac:dyDescent="0.35">
      <c r="A42">
        <v>50</v>
      </c>
      <c r="B42">
        <f t="shared" si="10"/>
        <v>0.64278760968653936</v>
      </c>
      <c r="C42">
        <f t="shared" si="9"/>
        <v>0.76604444311897801</v>
      </c>
      <c r="D42">
        <f>B42^2*$E$1+C42^2*$E$2+2*B42*C42*$E$3</f>
        <v>1252.4098109351196</v>
      </c>
      <c r="E42">
        <f t="shared" si="1"/>
        <v>435.59018906488041</v>
      </c>
      <c r="F42">
        <f t="shared" si="2"/>
        <v>-102.47646721047698</v>
      </c>
      <c r="G42" s="5">
        <f t="shared" si="3"/>
        <v>2.3042054327493261E-2</v>
      </c>
      <c r="H42" s="5">
        <f t="shared" si="4"/>
        <v>3.569427506248779E-2</v>
      </c>
      <c r="I42" s="5">
        <f t="shared" si="5"/>
        <v>6.5694155465523558E-3</v>
      </c>
      <c r="J42" s="5">
        <f t="shared" si="6"/>
        <v>2.5120990177710068E-2</v>
      </c>
      <c r="K42" s="5">
        <f t="shared" si="7"/>
        <v>2.8506410265143736E-2</v>
      </c>
      <c r="L42" s="5">
        <f t="shared" si="8"/>
        <v>-1.8632084947359451E-2</v>
      </c>
    </row>
    <row r="43" spans="1:12" x14ac:dyDescent="0.35">
      <c r="A43">
        <v>55</v>
      </c>
      <c r="B43">
        <f t="shared" si="10"/>
        <v>0.57357643635104616</v>
      </c>
      <c r="C43">
        <f t="shared" si="9"/>
        <v>0.8191520442889918</v>
      </c>
      <c r="D43">
        <f t="shared" si="0"/>
        <v>1228.4102964303115</v>
      </c>
      <c r="E43">
        <f t="shared" si="1"/>
        <v>459.5897035696886</v>
      </c>
      <c r="F43">
        <f t="shared" si="2"/>
        <v>-171.83923882035805</v>
      </c>
      <c r="G43" s="5">
        <f t="shared" si="3"/>
        <v>1.8472004022238628E-2</v>
      </c>
      <c r="H43" s="5">
        <f t="shared" si="4"/>
        <v>4.1163429306097371E-2</v>
      </c>
      <c r="I43" s="5">
        <f t="shared" si="5"/>
        <v>1.6528315595754208E-2</v>
      </c>
      <c r="J43" s="5">
        <f t="shared" si="6"/>
        <v>2.4438337320684414E-2</v>
      </c>
      <c r="K43" s="5">
        <f t="shared" si="7"/>
        <v>3.0655700119685443E-2</v>
      </c>
      <c r="L43" s="5">
        <f t="shared" si="8"/>
        <v>-3.1243497967337826E-2</v>
      </c>
    </row>
    <row r="44" spans="1:12" x14ac:dyDescent="0.35">
      <c r="A44">
        <v>60</v>
      </c>
      <c r="B44">
        <f t="shared" si="10"/>
        <v>0.50000000000000011</v>
      </c>
      <c r="C44">
        <f t="shared" si="9"/>
        <v>0.8660254037844386</v>
      </c>
      <c r="D44">
        <f t="shared" si="0"/>
        <v>1192.7306695894642</v>
      </c>
      <c r="E44">
        <f t="shared" si="1"/>
        <v>495.2693304105357</v>
      </c>
      <c r="F44">
        <f t="shared" si="2"/>
        <v>-235.98076211353307</v>
      </c>
      <c r="G44" s="5">
        <f t="shared" si="3"/>
        <v>1.6593029411207955E-2</v>
      </c>
      <c r="H44" s="5">
        <f t="shared" si="4"/>
        <v>4.4609006648287777E-2</v>
      </c>
      <c r="I44" s="5">
        <f t="shared" si="5"/>
        <v>3.0483327346778218E-2</v>
      </c>
      <c r="J44" s="5">
        <f t="shared" si="6"/>
        <v>2.342345015721143E-2</v>
      </c>
      <c r="K44" s="5">
        <f t="shared" si="7"/>
        <v>3.3851008923432416E-2</v>
      </c>
      <c r="L44" s="5">
        <f t="shared" si="8"/>
        <v>-4.2905593111551468E-2</v>
      </c>
    </row>
    <row r="45" spans="1:12" x14ac:dyDescent="0.35">
      <c r="A45">
        <v>65</v>
      </c>
      <c r="B45">
        <f t="shared" si="10"/>
        <v>0.42261826174069944</v>
      </c>
      <c r="C45">
        <f t="shared" si="9"/>
        <v>0.90630778703664994</v>
      </c>
      <c r="D45">
        <f t="shared" si="0"/>
        <v>1146.4550378193746</v>
      </c>
      <c r="E45">
        <f t="shared" si="1"/>
        <v>541.54496218062536</v>
      </c>
      <c r="F45">
        <f t="shared" si="2"/>
        <v>-292.95212936191581</v>
      </c>
      <c r="G45" s="5">
        <f t="shared" si="3"/>
        <v>1.7982561991117404E-2</v>
      </c>
      <c r="H45" s="5">
        <f t="shared" si="4"/>
        <v>4.5346180247397866E-2</v>
      </c>
      <c r="I45" s="5">
        <f t="shared" si="5"/>
        <v>4.640843229626955E-2</v>
      </c>
      <c r="J45" s="5">
        <f t="shared" si="6"/>
        <v>2.2107165520195544E-2</v>
      </c>
      <c r="K45" s="5">
        <f t="shared" si="7"/>
        <v>3.7995248835287113E-2</v>
      </c>
      <c r="L45" s="5">
        <f t="shared" si="8"/>
        <v>-5.3264023520348328E-2</v>
      </c>
    </row>
    <row r="46" spans="1:12" x14ac:dyDescent="0.35">
      <c r="A46">
        <v>70</v>
      </c>
      <c r="B46">
        <f t="shared" si="10"/>
        <v>0.34202014332566882</v>
      </c>
      <c r="C46">
        <f t="shared" si="9"/>
        <v>0.93969262078590832</v>
      </c>
      <c r="D46">
        <f t="shared" si="0"/>
        <v>1090.9894627747772</v>
      </c>
      <c r="E46">
        <f t="shared" si="1"/>
        <v>597.01053722522261</v>
      </c>
      <c r="F46">
        <f t="shared" si="2"/>
        <v>-341.02229440056686</v>
      </c>
      <c r="G46" s="5">
        <f t="shared" si="3"/>
        <v>2.2845317546238631E-2</v>
      </c>
      <c r="H46" s="5">
        <f t="shared" si="4"/>
        <v>4.3081361711346369E-2</v>
      </c>
      <c r="I46" s="5">
        <f t="shared" si="5"/>
        <v>6.1917528711637297E-2</v>
      </c>
      <c r="J46" s="5">
        <f t="shared" si="6"/>
        <v>2.0529478052260332E-2</v>
      </c>
      <c r="K46" s="5">
        <f t="shared" si="7"/>
        <v>4.296249922261438E-2</v>
      </c>
      <c r="L46" s="5">
        <f t="shared" si="8"/>
        <v>-6.2004053527375792E-2</v>
      </c>
    </row>
    <row r="47" spans="1:12" x14ac:dyDescent="0.35">
      <c r="A47">
        <v>75</v>
      </c>
      <c r="B47">
        <f t="shared" si="10"/>
        <v>0.25881904510252074</v>
      </c>
      <c r="C47">
        <f t="shared" si="9"/>
        <v>0.96592582628906831</v>
      </c>
      <c r="D47">
        <f t="shared" si="0"/>
        <v>1028.0192378864667</v>
      </c>
      <c r="E47">
        <f t="shared" si="1"/>
        <v>659.98076211353316</v>
      </c>
      <c r="F47">
        <f t="shared" si="2"/>
        <v>-378.73066958946424</v>
      </c>
      <c r="G47" s="5">
        <f t="shared" si="3"/>
        <v>3.0985964732172539E-2</v>
      </c>
      <c r="H47" s="5">
        <f t="shared" si="4"/>
        <v>3.7953831117979862E-2</v>
      </c>
      <c r="I47" s="5">
        <f t="shared" si="5"/>
        <v>7.4566368591181265E-2</v>
      </c>
      <c r="J47" s="5">
        <f t="shared" si="6"/>
        <v>1.8738324988770611E-2</v>
      </c>
      <c r="K47" s="5">
        <f t="shared" si="7"/>
        <v>4.8601832695945306E-2</v>
      </c>
      <c r="L47" s="5">
        <f t="shared" si="8"/>
        <v>-6.8860121743538949E-2</v>
      </c>
    </row>
    <row r="48" spans="1:12" x14ac:dyDescent="0.35">
      <c r="A48">
        <v>80</v>
      </c>
      <c r="B48">
        <f t="shared" si="10"/>
        <v>0.17364817766693041</v>
      </c>
      <c r="C48">
        <f t="shared" si="9"/>
        <v>0.98480775301220802</v>
      </c>
      <c r="D48">
        <f t="shared" si="0"/>
        <v>959.45768157320356</v>
      </c>
      <c r="E48">
        <f t="shared" si="1"/>
        <v>728.54231842679621</v>
      </c>
      <c r="F48">
        <f t="shared" si="2"/>
        <v>-404.93150502985156</v>
      </c>
      <c r="G48" s="5">
        <f t="shared" si="3"/>
        <v>4.18260424045395E-2</v>
      </c>
      <c r="H48" s="5">
        <f t="shared" si="4"/>
        <v>3.0523005976088792E-2</v>
      </c>
      <c r="I48" s="5">
        <f t="shared" si="5"/>
        <v>8.2164799263114568E-2</v>
      </c>
      <c r="J48" s="5">
        <f t="shared" si="6"/>
        <v>1.6788129609193347E-2</v>
      </c>
      <c r="K48" s="5">
        <f t="shared" si="7"/>
        <v>5.4741900961333079E-2</v>
      </c>
      <c r="L48" s="5">
        <f t="shared" si="8"/>
        <v>-7.3623910005427548E-2</v>
      </c>
    </row>
    <row r="49" spans="1:12" x14ac:dyDescent="0.35">
      <c r="A49">
        <v>85</v>
      </c>
      <c r="B49">
        <f t="shared" si="10"/>
        <v>8.7155742747658138E-2</v>
      </c>
      <c r="C49">
        <f t="shared" si="9"/>
        <v>0.99619469809174555</v>
      </c>
      <c r="D49">
        <f t="shared" si="0"/>
        <v>887.3880020297446</v>
      </c>
      <c r="E49">
        <f t="shared" si="1"/>
        <v>800.61199797025552</v>
      </c>
      <c r="F49">
        <f t="shared" si="2"/>
        <v>-418.82870159513533</v>
      </c>
      <c r="G49" s="5">
        <f t="shared" si="3"/>
        <v>5.4463511349416446E-2</v>
      </c>
      <c r="H49" s="5">
        <f t="shared" si="4"/>
        <v>2.1702761068267795E-2</v>
      </c>
      <c r="I49" s="5">
        <f t="shared" si="5"/>
        <v>8.3061119100514225E-2</v>
      </c>
      <c r="J49" s="5">
        <f t="shared" si="6"/>
        <v>1.4738147613290512E-2</v>
      </c>
      <c r="K49" s="5">
        <f t="shared" si="7"/>
        <v>6.1196141151558442E-2</v>
      </c>
      <c r="L49" s="5">
        <f t="shared" si="8"/>
        <v>-7.6150673017297332E-2</v>
      </c>
    </row>
    <row r="50" spans="1:12" x14ac:dyDescent="0.35">
      <c r="A50">
        <v>90</v>
      </c>
      <c r="B50">
        <f>COS(RADIANS(A50))</f>
        <v>6.1257422745431001E-17</v>
      </c>
      <c r="C50">
        <f t="shared" si="9"/>
        <v>1</v>
      </c>
      <c r="D50">
        <f t="shared" si="0"/>
        <v>814</v>
      </c>
      <c r="E50">
        <f t="shared" si="1"/>
        <v>874</v>
      </c>
      <c r="F50">
        <f t="shared" si="2"/>
        <v>-420</v>
      </c>
      <c r="G50" s="5">
        <f t="shared" si="3"/>
        <v>6.7768444444444451E-2</v>
      </c>
      <c r="H50" s="5">
        <f t="shared" si="4"/>
        <v>1.2650666666666673E-2</v>
      </c>
      <c r="I50" s="5">
        <f t="shared" si="5"/>
        <v>7.6363636363636356E-2</v>
      </c>
      <c r="J50" s="5">
        <f t="shared" si="6"/>
        <v>1.2650666666666668E-2</v>
      </c>
      <c r="K50" s="5">
        <f t="shared" si="7"/>
        <v>6.7768444444444451E-2</v>
      </c>
      <c r="L50" s="5">
        <f t="shared" si="8"/>
        <v>-7.6363636363636356E-2</v>
      </c>
    </row>
    <row r="51" spans="1:12" x14ac:dyDescent="0.35">
      <c r="A51">
        <v>72.599999999999994</v>
      </c>
      <c r="B51" s="5">
        <f>COS(RADIANS(A51))</f>
        <v>0.29904079225608671</v>
      </c>
      <c r="C51" s="5">
        <f>SIN(RADIANS(A51))</f>
        <v>0.95424032851627683</v>
      </c>
      <c r="D51" s="5">
        <f>B51^2*$E$1+C51^2*$E$2+2*B51*C51*$E$3</f>
        <v>1059.0652221534501</v>
      </c>
      <c r="E51" s="5">
        <f t="shared" si="1"/>
        <v>628.93477784654965</v>
      </c>
      <c r="F51" s="5">
        <f>-B51*C51*($E$1-$E$2)+(B51^2-C51^2)*$E$3</f>
        <v>-362.0040748666886</v>
      </c>
      <c r="G51" s="5">
        <f>(B51^2)*J51+C51*K51+B51*C51*L51</f>
        <v>2.6697492209345183E-2</v>
      </c>
      <c r="H51" s="5">
        <f t="shared" si="4"/>
        <v>4.0746239516185168E-2</v>
      </c>
      <c r="I51" s="5">
        <f t="shared" si="5"/>
        <v>6.8999898346454563E-2</v>
      </c>
      <c r="J51" s="5">
        <f t="shared" si="6"/>
        <v>1.962141076347592E-2</v>
      </c>
      <c r="K51" s="5">
        <f t="shared" si="7"/>
        <v>4.5821492327146558E-2</v>
      </c>
      <c r="L51" s="5">
        <f t="shared" si="8"/>
        <v>-6.5818922703034285E-2</v>
      </c>
    </row>
    <row r="69" spans="2:17" x14ac:dyDescent="0.35">
      <c r="B69" s="1" t="s">
        <v>53</v>
      </c>
      <c r="C69">
        <f>MIN(D32:D50)</f>
        <v>814</v>
      </c>
      <c r="D69" s="1" t="s">
        <v>56</v>
      </c>
      <c r="E69">
        <f>MAX(D32:D50)</f>
        <v>1264</v>
      </c>
      <c r="H69" s="1" t="s">
        <v>59</v>
      </c>
      <c r="I69">
        <f>MIN(J32:J50)</f>
        <v>1.2650666666666668E-2</v>
      </c>
      <c r="J69" s="1" t="s">
        <v>60</v>
      </c>
      <c r="K69">
        <f>MAX(J32:J50)</f>
        <v>2.5450666666666667E-2</v>
      </c>
      <c r="N69" s="1" t="s">
        <v>65</v>
      </c>
      <c r="O69">
        <f>MIN(G32:G50)</f>
        <v>1.4357333333333333E-2</v>
      </c>
      <c r="P69" s="1" t="s">
        <v>66</v>
      </c>
      <c r="Q69">
        <f>MAX(G32:G50)</f>
        <v>6.7768444444444451E-2</v>
      </c>
    </row>
    <row r="70" spans="2:17" x14ac:dyDescent="0.35">
      <c r="B70" s="1" t="s">
        <v>54</v>
      </c>
      <c r="C70">
        <f>MIN(E32:E50)</f>
        <v>424</v>
      </c>
      <c r="D70" s="1" t="s">
        <v>57</v>
      </c>
      <c r="E70">
        <f>MAX(E32:E50)</f>
        <v>874</v>
      </c>
      <c r="H70" s="1" t="s">
        <v>61</v>
      </c>
      <c r="I70">
        <f>MIN(K32:K50)</f>
        <v>2.7468444444444448E-2</v>
      </c>
      <c r="J70" s="1" t="s">
        <v>62</v>
      </c>
      <c r="K70">
        <f>MAX(K32:K50)</f>
        <v>6.7768444444444451E-2</v>
      </c>
      <c r="N70" s="1" t="s">
        <v>67</v>
      </c>
      <c r="O70">
        <f>MIN(H32:H50)</f>
        <v>1.2650666666666673E-2</v>
      </c>
      <c r="P70" s="1" t="s">
        <v>68</v>
      </c>
      <c r="Q70">
        <f>MAX(H32:H50)</f>
        <v>6.239511111111111E-2</v>
      </c>
    </row>
    <row r="71" spans="2:17" x14ac:dyDescent="0.35">
      <c r="B71" s="1" t="s">
        <v>55</v>
      </c>
      <c r="C71">
        <f>MIN(F32:F50)</f>
        <v>-420</v>
      </c>
      <c r="D71" s="1" t="s">
        <v>58</v>
      </c>
      <c r="E71">
        <f>MAX(F32:F50)</f>
        <v>420</v>
      </c>
      <c r="H71" s="1" t="s">
        <v>63</v>
      </c>
      <c r="I71">
        <f>MIN(L32:L50)</f>
        <v>-7.6363636363636356E-2</v>
      </c>
      <c r="J71" s="1" t="s">
        <v>64</v>
      </c>
      <c r="K71">
        <f>MAX(L32:L50)</f>
        <v>7.6363636363636356E-2</v>
      </c>
      <c r="N71" s="1" t="s">
        <v>69</v>
      </c>
      <c r="O71">
        <f>MIN(I32:I50)</f>
        <v>2.0177777777777802E-3</v>
      </c>
      <c r="P71" s="1" t="s">
        <v>70</v>
      </c>
      <c r="Q71">
        <f>MAX(I32:I50)</f>
        <v>8.3061119100514225E-2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Avanthika Vuppala</dc:creator>
  <cp:lastModifiedBy>Avanthika Vuppala</cp:lastModifiedBy>
  <dcterms:created xsi:type="dcterms:W3CDTF">2026-02-26T19:36:11Z</dcterms:created>
  <dcterms:modified xsi:type="dcterms:W3CDTF">2026-02-27T05:56:32Z</dcterms:modified>
</cp:coreProperties>
</file>